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ilgov-my.sharepoint.com/personal/gary_forsee_illinois_gov/Documents/Desktop/TENORM/Part N/"/>
    </mc:Choice>
  </mc:AlternateContent>
  <xr:revisionPtr revIDLastSave="37" documentId="8_{B5D7E769-35DA-4FC4-95D4-41F612EC57B5}" xr6:coauthVersionLast="47" xr6:coauthVersionMax="47" xr10:uidLastSave="{4360BA30-734E-4D0D-8727-F86436731A56}"/>
  <bookViews>
    <workbookView xWindow="20370" yWindow="-120" windowWidth="29040" windowHeight="15840" tabRatio="752" xr2:uid="{00000000-000D-0000-FFFF-FFFF00000000}"/>
  </bookViews>
  <sheets>
    <sheet name="Model Output" sheetId="6" r:id="rId1"/>
    <sheet name="Dose vs Small Area (Low Conc.)" sheetId="11" r:id="rId2"/>
    <sheet name="Dose vs Small Area (Mid Conc.)" sheetId="12" r:id="rId3"/>
    <sheet name="Dose vs Small Area (High Conc.)" sheetId="13" r:id="rId4"/>
    <sheet name="Ingestion CEDE" sheetId="15" r:id="rId5"/>
    <sheet name="Inhalation CEDE" sheetId="16" r:id="rId6"/>
    <sheet name="High quantity low concentration"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8" i="15" l="1"/>
  <c r="N13" i="15"/>
  <c r="W36" i="17" l="1"/>
  <c r="W35" i="17"/>
  <c r="W34" i="17"/>
  <c r="W33" i="17"/>
  <c r="W32" i="17"/>
  <c r="W31" i="17"/>
  <c r="W30" i="17"/>
  <c r="W29" i="17"/>
  <c r="W28" i="17"/>
  <c r="W27" i="17"/>
  <c r="W26" i="17"/>
  <c r="U36" i="17"/>
  <c r="U35" i="17"/>
  <c r="U34" i="17"/>
  <c r="U33" i="17"/>
  <c r="U32" i="17"/>
  <c r="U31" i="17"/>
  <c r="U30" i="17"/>
  <c r="U29" i="17"/>
  <c r="U28" i="17"/>
  <c r="U27" i="17"/>
  <c r="U26" i="17"/>
  <c r="S39" i="17" l="1"/>
  <c r="Q39" i="17"/>
  <c r="Y38" i="17"/>
  <c r="S38" i="17"/>
  <c r="Q38" i="17"/>
  <c r="O38" i="17"/>
  <c r="M38" i="17"/>
  <c r="K38" i="17"/>
  <c r="I38" i="17"/>
  <c r="G38" i="17"/>
  <c r="E38" i="17"/>
  <c r="C38" i="17"/>
  <c r="Y37" i="17"/>
  <c r="S37" i="17"/>
  <c r="Q37" i="17"/>
  <c r="O37" i="17"/>
  <c r="M37" i="17"/>
  <c r="K37" i="17"/>
  <c r="I37" i="17"/>
  <c r="G37" i="17"/>
  <c r="E37" i="17"/>
  <c r="C37" i="17"/>
  <c r="Y36" i="17"/>
  <c r="S36" i="17"/>
  <c r="Q36" i="17"/>
  <c r="O36" i="17"/>
  <c r="M36" i="17"/>
  <c r="K36" i="17"/>
  <c r="I36" i="17"/>
  <c r="G36" i="17"/>
  <c r="E36" i="17"/>
  <c r="C36" i="17"/>
  <c r="Y35" i="17"/>
  <c r="S35" i="17"/>
  <c r="Q35" i="17"/>
  <c r="O35" i="17"/>
  <c r="M35" i="17"/>
  <c r="K35" i="17"/>
  <c r="I35" i="17"/>
  <c r="G35" i="17"/>
  <c r="E35" i="17"/>
  <c r="C35" i="17"/>
  <c r="Y34" i="17"/>
  <c r="S34" i="17"/>
  <c r="Q34" i="17"/>
  <c r="O34" i="17"/>
  <c r="M34" i="17"/>
  <c r="K34" i="17"/>
  <c r="I34" i="17"/>
  <c r="G34" i="17"/>
  <c r="E34" i="17"/>
  <c r="C34" i="17"/>
  <c r="Y33" i="17"/>
  <c r="S33" i="17"/>
  <c r="Q33" i="17"/>
  <c r="O33" i="17"/>
  <c r="M33" i="17"/>
  <c r="K33" i="17"/>
  <c r="I33" i="17"/>
  <c r="G33" i="17"/>
  <c r="E33" i="17"/>
  <c r="C33" i="17"/>
  <c r="Y32" i="17"/>
  <c r="S32" i="17"/>
  <c r="Q32" i="17"/>
  <c r="O32" i="17"/>
  <c r="M32" i="17"/>
  <c r="K32" i="17"/>
  <c r="I32" i="17"/>
  <c r="G32" i="17"/>
  <c r="E32" i="17"/>
  <c r="C32" i="17"/>
  <c r="Y31" i="17"/>
  <c r="S31" i="17"/>
  <c r="Q31" i="17"/>
  <c r="O31" i="17"/>
  <c r="M31" i="17"/>
  <c r="K31" i="17"/>
  <c r="I31" i="17"/>
  <c r="G31" i="17"/>
  <c r="E31" i="17"/>
  <c r="C31" i="17"/>
  <c r="Y30" i="17"/>
  <c r="S30" i="17"/>
  <c r="Q30" i="17"/>
  <c r="O30" i="17"/>
  <c r="M30" i="17"/>
  <c r="K30" i="17"/>
  <c r="I30" i="17"/>
  <c r="G30" i="17"/>
  <c r="E30" i="17"/>
  <c r="C30" i="17"/>
  <c r="Y29" i="17"/>
  <c r="S29" i="17"/>
  <c r="Q29" i="17"/>
  <c r="O29" i="17"/>
  <c r="M29" i="17"/>
  <c r="K29" i="17"/>
  <c r="I29" i="17"/>
  <c r="G29" i="17"/>
  <c r="E29" i="17"/>
  <c r="C29" i="17"/>
  <c r="Y28" i="17"/>
  <c r="S28" i="17"/>
  <c r="Q28" i="17"/>
  <c r="O28" i="17"/>
  <c r="M28" i="17"/>
  <c r="K28" i="17"/>
  <c r="I28" i="17"/>
  <c r="G28" i="17"/>
  <c r="E28" i="17"/>
  <c r="C28" i="17"/>
  <c r="Y27" i="17"/>
  <c r="S27" i="17"/>
  <c r="Q27" i="17"/>
  <c r="O27" i="17"/>
  <c r="M27" i="17"/>
  <c r="K27" i="17"/>
  <c r="I27" i="17"/>
  <c r="G27" i="17"/>
  <c r="E27" i="17"/>
  <c r="C27" i="17"/>
  <c r="Y26" i="17"/>
  <c r="S26" i="17"/>
  <c r="Q26" i="17"/>
  <c r="O26" i="17"/>
  <c r="M26" i="17"/>
  <c r="K26" i="17"/>
  <c r="I26" i="17"/>
  <c r="G26" i="17"/>
  <c r="E26" i="17"/>
  <c r="C26" i="17"/>
  <c r="E19" i="17"/>
  <c r="E18" i="17"/>
  <c r="F18" i="17" s="1"/>
  <c r="G18" i="17" s="1"/>
  <c r="AB18" i="17" s="1"/>
  <c r="E17" i="17"/>
  <c r="F17" i="17" s="1"/>
  <c r="G17" i="17" s="1"/>
  <c r="V17" i="17" s="1"/>
  <c r="E16" i="17"/>
  <c r="F16" i="17" s="1"/>
  <c r="G16" i="17" s="1"/>
  <c r="X16" i="17" s="1"/>
  <c r="E15" i="17"/>
  <c r="F15" i="17" s="1"/>
  <c r="G15" i="17" s="1"/>
  <c r="Z15" i="17" s="1"/>
  <c r="E14" i="17"/>
  <c r="F14" i="17" s="1"/>
  <c r="G14" i="17" s="1"/>
  <c r="V14" i="17" s="1"/>
  <c r="V33" i="17" s="1"/>
  <c r="E13" i="17"/>
  <c r="F13" i="17" s="1"/>
  <c r="G13" i="17" s="1"/>
  <c r="AB13" i="17" s="1"/>
  <c r="E12" i="17"/>
  <c r="F12" i="17" s="1"/>
  <c r="G12" i="17" s="1"/>
  <c r="AB12" i="17" s="1"/>
  <c r="E11" i="17"/>
  <c r="F11" i="17" s="1"/>
  <c r="G11" i="17" s="1"/>
  <c r="V11" i="17" s="1"/>
  <c r="E10" i="17"/>
  <c r="F10" i="17" s="1"/>
  <c r="G10" i="17" s="1"/>
  <c r="X10" i="17" s="1"/>
  <c r="E9" i="17"/>
  <c r="F9" i="17" s="1"/>
  <c r="G9" i="17" s="1"/>
  <c r="Z9" i="17" s="1"/>
  <c r="E8" i="17"/>
  <c r="F8" i="17" s="1"/>
  <c r="G8" i="17" s="1"/>
  <c r="Z8" i="17" s="1"/>
  <c r="E7" i="17"/>
  <c r="F7" i="17" s="1"/>
  <c r="G7" i="17" s="1"/>
  <c r="AB7" i="17" s="1"/>
  <c r="C3" i="16"/>
  <c r="H11" i="17" l="1"/>
  <c r="H17" i="17"/>
  <c r="J10" i="17"/>
  <c r="J16" i="17"/>
  <c r="L8" i="17"/>
  <c r="L15" i="17"/>
  <c r="N7" i="17"/>
  <c r="N12" i="17"/>
  <c r="J31" i="17" s="1"/>
  <c r="N18" i="17"/>
  <c r="P11" i="17"/>
  <c r="P17" i="17"/>
  <c r="R10" i="17"/>
  <c r="F33" i="17" s="1"/>
  <c r="R16" i="17"/>
  <c r="T8" i="17"/>
  <c r="T15" i="17"/>
  <c r="V7" i="17"/>
  <c r="V12" i="17"/>
  <c r="V18" i="17"/>
  <c r="X11" i="17"/>
  <c r="X17" i="17"/>
  <c r="Z10" i="17"/>
  <c r="Z16" i="17"/>
  <c r="AB8" i="17"/>
  <c r="B38" i="17" s="1"/>
  <c r="AB15" i="17"/>
  <c r="H7" i="17"/>
  <c r="H12" i="17"/>
  <c r="H18" i="17"/>
  <c r="R28" i="17" s="1"/>
  <c r="J11" i="17"/>
  <c r="J17" i="17"/>
  <c r="L10" i="17"/>
  <c r="F30" i="17" s="1"/>
  <c r="L16" i="17"/>
  <c r="N30" i="17" s="1"/>
  <c r="N8" i="17"/>
  <c r="N15" i="17"/>
  <c r="P7" i="17"/>
  <c r="P12" i="17"/>
  <c r="J32" i="17" s="1"/>
  <c r="P18" i="17"/>
  <c r="R11" i="17"/>
  <c r="R17" i="17"/>
  <c r="T10" i="17"/>
  <c r="T16" i="17"/>
  <c r="N34" i="17" s="1"/>
  <c r="V8" i="17"/>
  <c r="V15" i="17"/>
  <c r="X35" i="17" s="1"/>
  <c r="X7" i="17"/>
  <c r="X12" i="17"/>
  <c r="X18" i="17"/>
  <c r="Z11" i="17"/>
  <c r="Z17" i="17"/>
  <c r="AB10" i="17"/>
  <c r="F38" i="17" s="1"/>
  <c r="AB16" i="17"/>
  <c r="H8" i="17"/>
  <c r="H15" i="17"/>
  <c r="X28" i="17" s="1"/>
  <c r="J7" i="17"/>
  <c r="J12" i="17"/>
  <c r="J18" i="17"/>
  <c r="L11" i="17"/>
  <c r="L17" i="17"/>
  <c r="N10" i="17"/>
  <c r="N16" i="17"/>
  <c r="P8" i="17"/>
  <c r="B32" i="17" s="1"/>
  <c r="P15" i="17"/>
  <c r="X32" i="17" s="1"/>
  <c r="R7" i="17"/>
  <c r="R12" i="17"/>
  <c r="J33" i="17" s="1"/>
  <c r="R18" i="17"/>
  <c r="R33" i="17" s="1"/>
  <c r="T11" i="17"/>
  <c r="T17" i="17"/>
  <c r="V10" i="17"/>
  <c r="V16" i="17"/>
  <c r="N35" i="17" s="1"/>
  <c r="X8" i="17"/>
  <c r="B36" i="17" s="1"/>
  <c r="X15" i="17"/>
  <c r="Z7" i="17"/>
  <c r="Z12" i="17"/>
  <c r="Z18" i="17"/>
  <c r="AB11" i="17"/>
  <c r="AB17" i="17"/>
  <c r="H10" i="17"/>
  <c r="F28" i="17" s="1"/>
  <c r="H16" i="17"/>
  <c r="N28" i="17" s="1"/>
  <c r="J8" i="17"/>
  <c r="J15" i="17"/>
  <c r="L7" i="17"/>
  <c r="L12" i="17"/>
  <c r="L18" i="17"/>
  <c r="N11" i="17"/>
  <c r="N17" i="17"/>
  <c r="P10" i="17"/>
  <c r="P16" i="17"/>
  <c r="R8" i="17"/>
  <c r="R15" i="17"/>
  <c r="T7" i="17"/>
  <c r="T12" i="17"/>
  <c r="T18" i="17"/>
  <c r="L9" i="17"/>
  <c r="P9" i="17"/>
  <c r="T9" i="17"/>
  <c r="X9" i="17"/>
  <c r="AB9" i="17"/>
  <c r="H9" i="17"/>
  <c r="J9" i="17"/>
  <c r="N9" i="17"/>
  <c r="R9" i="17"/>
  <c r="V9" i="17"/>
  <c r="J13" i="17"/>
  <c r="R13" i="17"/>
  <c r="L33" i="17" s="1"/>
  <c r="Z13" i="17"/>
  <c r="H13" i="17"/>
  <c r="L28" i="17" s="1"/>
  <c r="P13" i="17"/>
  <c r="X13" i="17"/>
  <c r="L36" i="17" s="1"/>
  <c r="N13" i="17"/>
  <c r="V13" i="17"/>
  <c r="L35" i="17" s="1"/>
  <c r="L13" i="17"/>
  <c r="T13" i="17"/>
  <c r="L34" i="17" s="1"/>
  <c r="P14" i="17"/>
  <c r="V30" i="17" s="1"/>
  <c r="X14" i="17"/>
  <c r="V34" i="17" s="1"/>
  <c r="Z14" i="17"/>
  <c r="V35" i="17" s="1"/>
  <c r="H14" i="17"/>
  <c r="V26" i="17" s="1"/>
  <c r="J14" i="17"/>
  <c r="V27" i="17" s="1"/>
  <c r="R14" i="17"/>
  <c r="V31" i="17" s="1"/>
  <c r="L14" i="17"/>
  <c r="V28" i="17" s="1"/>
  <c r="T14" i="17"/>
  <c r="V32" i="17" s="1"/>
  <c r="AB14" i="17"/>
  <c r="N14" i="17"/>
  <c r="V29" i="17" s="1"/>
  <c r="F19" i="17"/>
  <c r="G19" i="17" s="1"/>
  <c r="L19" i="17" s="1"/>
  <c r="T28" i="17" s="1"/>
  <c r="N36" i="17"/>
  <c r="X36" i="17"/>
  <c r="P32" i="17"/>
  <c r="B28" i="17"/>
  <c r="B31" i="17"/>
  <c r="B35" i="17"/>
  <c r="B34" i="17"/>
  <c r="B30" i="17"/>
  <c r="B37" i="17"/>
  <c r="B33" i="17"/>
  <c r="B29" i="17"/>
  <c r="R37" i="17"/>
  <c r="R29" i="17"/>
  <c r="R36" i="17"/>
  <c r="R32" i="17"/>
  <c r="R35" i="17"/>
  <c r="R34" i="17"/>
  <c r="R39" i="17"/>
  <c r="R31" i="17"/>
  <c r="R38" i="17"/>
  <c r="R30" i="17"/>
  <c r="J36" i="17"/>
  <c r="J28" i="17"/>
  <c r="J38" i="17"/>
  <c r="J30" i="17"/>
  <c r="J35" i="17"/>
  <c r="J34" i="17"/>
  <c r="J37" i="17"/>
  <c r="J29" i="17"/>
  <c r="F36" i="17"/>
  <c r="F32" i="17"/>
  <c r="F31" i="17"/>
  <c r="F34" i="17"/>
  <c r="F35" i="17"/>
  <c r="F37" i="17"/>
  <c r="F29" i="17"/>
  <c r="L38" i="17"/>
  <c r="L30" i="17"/>
  <c r="L37" i="17"/>
  <c r="L29" i="17"/>
  <c r="L32" i="17"/>
  <c r="L31" i="17"/>
  <c r="P36" i="17"/>
  <c r="P35" i="17"/>
  <c r="P34" i="17"/>
  <c r="X30" i="17"/>
  <c r="N31" i="17"/>
  <c r="X31" i="17"/>
  <c r="X37" i="17"/>
  <c r="N38" i="17"/>
  <c r="N37" i="17"/>
  <c r="N33" i="17"/>
  <c r="N29" i="17"/>
  <c r="N32" i="17"/>
  <c r="X33" i="17"/>
  <c r="X38" i="17"/>
  <c r="X29" i="17"/>
  <c r="X34" i="17"/>
  <c r="C4" i="16"/>
  <c r="O21" i="16" s="1"/>
  <c r="J43" i="16"/>
  <c r="I43" i="16"/>
  <c r="H43" i="16"/>
  <c r="G43" i="16"/>
  <c r="F43" i="16"/>
  <c r="E43" i="16"/>
  <c r="D43" i="16"/>
  <c r="C43" i="16"/>
  <c r="I35" i="16"/>
  <c r="H35" i="16"/>
  <c r="G35" i="16"/>
  <c r="F35" i="16"/>
  <c r="E35" i="16"/>
  <c r="D35" i="16"/>
  <c r="C35" i="16"/>
  <c r="M28" i="16"/>
  <c r="L28" i="16"/>
  <c r="K28" i="16"/>
  <c r="J28" i="16"/>
  <c r="I28" i="16"/>
  <c r="H28" i="16"/>
  <c r="G28" i="16"/>
  <c r="F28" i="16"/>
  <c r="E28" i="16"/>
  <c r="D28" i="16"/>
  <c r="C28" i="16"/>
  <c r="U28" i="16"/>
  <c r="T28" i="16"/>
  <c r="S28" i="16"/>
  <c r="R28" i="16"/>
  <c r="Q28" i="16"/>
  <c r="P28" i="16"/>
  <c r="O28" i="16"/>
  <c r="N28" i="16"/>
  <c r="J22" i="16"/>
  <c r="F22" i="16"/>
  <c r="J20" i="16"/>
  <c r="F20" i="16"/>
  <c r="J19" i="16"/>
  <c r="J18" i="16"/>
  <c r="J17" i="16"/>
  <c r="J15" i="16"/>
  <c r="J14" i="16"/>
  <c r="F14" i="16"/>
  <c r="J13" i="16"/>
  <c r="J12" i="16"/>
  <c r="J11" i="16"/>
  <c r="J10" i="16"/>
  <c r="J9" i="16"/>
  <c r="J8" i="16"/>
  <c r="F8" i="16"/>
  <c r="I30" i="15"/>
  <c r="H30" i="15"/>
  <c r="G30" i="15"/>
  <c r="F30" i="15"/>
  <c r="E30" i="15"/>
  <c r="D30" i="15"/>
  <c r="C30" i="15"/>
  <c r="G33" i="15" l="1"/>
  <c r="H33" i="15" s="1"/>
  <c r="E8" i="15" s="1"/>
  <c r="E34" i="15"/>
  <c r="F34" i="15" s="1"/>
  <c r="E9" i="15" s="1"/>
  <c r="AB19" i="17"/>
  <c r="Z19" i="17"/>
  <c r="T35" i="17" s="1"/>
  <c r="X19" i="17"/>
  <c r="T34" i="17" s="1"/>
  <c r="V19" i="17"/>
  <c r="T33" i="17" s="1"/>
  <c r="T19" i="17"/>
  <c r="T32" i="17" s="1"/>
  <c r="R19" i="17"/>
  <c r="T31" i="17" s="1"/>
  <c r="P19" i="17"/>
  <c r="T30" i="17" s="1"/>
  <c r="N19" i="17"/>
  <c r="T29" i="17" s="1"/>
  <c r="J19" i="17"/>
  <c r="T27" i="17" s="1"/>
  <c r="H19" i="17"/>
  <c r="T26" i="17" s="1"/>
  <c r="P30" i="17"/>
  <c r="P29" i="17"/>
  <c r="P39" i="17"/>
  <c r="P37" i="17"/>
  <c r="P28" i="17"/>
  <c r="P38" i="17"/>
  <c r="P33" i="17"/>
  <c r="P31" i="17"/>
  <c r="H34" i="17"/>
  <c r="H37" i="17"/>
  <c r="H31" i="17"/>
  <c r="H30" i="17"/>
  <c r="H33" i="17"/>
  <c r="H32" i="17"/>
  <c r="H36" i="17"/>
  <c r="H29" i="17"/>
  <c r="H38" i="17"/>
  <c r="H28" i="17"/>
  <c r="H35" i="17"/>
  <c r="D38" i="17"/>
  <c r="D29" i="17"/>
  <c r="D35" i="17"/>
  <c r="D34" i="17"/>
  <c r="D33" i="17"/>
  <c r="D31" i="17"/>
  <c r="D30" i="17"/>
  <c r="D36" i="17"/>
  <c r="D28" i="17"/>
  <c r="D37" i="17"/>
  <c r="D32" i="17"/>
  <c r="E39" i="16"/>
  <c r="F39" i="16" s="1"/>
  <c r="E12" i="16" s="1"/>
  <c r="F12" i="16" s="1"/>
  <c r="P12" i="16" s="1"/>
  <c r="G38" i="16"/>
  <c r="H38" i="16" s="1"/>
  <c r="E11" i="16" s="1"/>
  <c r="F11" i="16" s="1"/>
  <c r="P11" i="16" s="1"/>
  <c r="N22" i="16"/>
  <c r="O22" i="16" s="1"/>
  <c r="P22" i="16"/>
  <c r="G14" i="16"/>
  <c r="L14" i="16" s="1"/>
  <c r="M14" i="16" s="1"/>
  <c r="P14" i="16"/>
  <c r="N8" i="16"/>
  <c r="O8" i="16" s="1"/>
  <c r="P8" i="16"/>
  <c r="N20" i="16"/>
  <c r="O20" i="16" s="1"/>
  <c r="P20" i="16"/>
  <c r="P21" i="16"/>
  <c r="P16" i="16"/>
  <c r="O16" i="16"/>
  <c r="G22" i="16"/>
  <c r="L22" i="16" s="1"/>
  <c r="M22" i="16" s="1"/>
  <c r="T31" i="16"/>
  <c r="U31" i="16" s="1"/>
  <c r="T35" i="16"/>
  <c r="K34" i="16"/>
  <c r="M34" i="16" s="1"/>
  <c r="E18" i="16" s="1"/>
  <c r="F18" i="16" s="1"/>
  <c r="I46" i="16"/>
  <c r="J46" i="16" s="1"/>
  <c r="E19" i="16" s="1"/>
  <c r="F19" i="16" s="1"/>
  <c r="P19" i="16" s="1"/>
  <c r="C32" i="16"/>
  <c r="H32" i="16" s="1"/>
  <c r="E10" i="16" s="1"/>
  <c r="F10" i="16" s="1"/>
  <c r="P10" i="16" s="1"/>
  <c r="C31" i="16"/>
  <c r="E31" i="16" s="1"/>
  <c r="E9" i="16" s="1"/>
  <c r="F9" i="16" s="1"/>
  <c r="P9" i="16" s="1"/>
  <c r="H35" i="15"/>
  <c r="I35" i="15" s="1"/>
  <c r="E12" i="15" s="1"/>
  <c r="F12" i="15" s="1"/>
  <c r="N11" i="16"/>
  <c r="O11" i="16" s="1"/>
  <c r="G12" i="16"/>
  <c r="N14" i="16"/>
  <c r="O14" i="16" s="1"/>
  <c r="H40" i="16"/>
  <c r="I40" i="16" s="1"/>
  <c r="E15" i="16" s="1"/>
  <c r="F15" i="16" s="1"/>
  <c r="P15" i="16" s="1"/>
  <c r="G8" i="16"/>
  <c r="G20" i="16"/>
  <c r="L20" i="16" s="1"/>
  <c r="M20" i="16" s="1"/>
  <c r="C33" i="16"/>
  <c r="I33" i="16" s="1"/>
  <c r="E13" i="16" s="1"/>
  <c r="F13" i="16" s="1"/>
  <c r="P13" i="16" s="1"/>
  <c r="L18" i="15"/>
  <c r="L13" i="15"/>
  <c r="J19" i="15"/>
  <c r="J17" i="15"/>
  <c r="J16" i="15"/>
  <c r="J15" i="15"/>
  <c r="J14" i="15"/>
  <c r="J12" i="15"/>
  <c r="J11" i="15"/>
  <c r="J10" i="15"/>
  <c r="J9" i="15"/>
  <c r="J8" i="15"/>
  <c r="J7" i="15"/>
  <c r="J6" i="15"/>
  <c r="J5" i="15"/>
  <c r="U23" i="15"/>
  <c r="T23" i="15"/>
  <c r="S23" i="15"/>
  <c r="R23" i="15"/>
  <c r="Q23" i="15"/>
  <c r="P23" i="15"/>
  <c r="O23" i="15"/>
  <c r="N23" i="15"/>
  <c r="J38" i="15"/>
  <c r="I38" i="15"/>
  <c r="H38" i="15"/>
  <c r="G38" i="15"/>
  <c r="F38" i="15"/>
  <c r="E38" i="15"/>
  <c r="D38" i="15"/>
  <c r="C38" i="15"/>
  <c r="F19" i="15"/>
  <c r="F17" i="15"/>
  <c r="F11" i="15"/>
  <c r="F9" i="15"/>
  <c r="F8" i="15"/>
  <c r="F5" i="15"/>
  <c r="C23" i="15"/>
  <c r="K23" i="15"/>
  <c r="M23" i="15"/>
  <c r="L23" i="15"/>
  <c r="J23" i="15"/>
  <c r="I23" i="15"/>
  <c r="H23" i="15"/>
  <c r="G23" i="15"/>
  <c r="F23" i="15"/>
  <c r="E23" i="15"/>
  <c r="D23" i="15"/>
  <c r="N12" i="16" l="1"/>
  <c r="O12" i="16" s="1"/>
  <c r="G11" i="16"/>
  <c r="I41" i="15"/>
  <c r="J41" i="15" s="1"/>
  <c r="E16" i="15" s="1"/>
  <c r="F16" i="15" s="1"/>
  <c r="T30" i="15"/>
  <c r="U30" i="15" s="1"/>
  <c r="N11" i="15"/>
  <c r="O11" i="15" s="1"/>
  <c r="P32" i="16"/>
  <c r="P33" i="16" s="1"/>
  <c r="U35" i="16"/>
  <c r="U36" i="16" s="1"/>
  <c r="E17" i="16" s="1"/>
  <c r="N9" i="15"/>
  <c r="O9" i="15" s="1"/>
  <c r="N16" i="15"/>
  <c r="O16" i="15" s="1"/>
  <c r="N5" i="15"/>
  <c r="O5" i="15" s="1"/>
  <c r="N17" i="15"/>
  <c r="O17" i="15" s="1"/>
  <c r="N8" i="15"/>
  <c r="O8" i="15" s="1"/>
  <c r="O19" i="15"/>
  <c r="N19" i="15"/>
  <c r="N12" i="15"/>
  <c r="O12" i="15" s="1"/>
  <c r="T36" i="17"/>
  <c r="V36" i="17"/>
  <c r="G18" i="16"/>
  <c r="L18" i="16" s="1"/>
  <c r="M18" i="16" s="1"/>
  <c r="P18" i="16"/>
  <c r="N10" i="16"/>
  <c r="O10" i="16" s="1"/>
  <c r="L12" i="16"/>
  <c r="M12" i="16" s="1"/>
  <c r="L11" i="16"/>
  <c r="M11" i="16" s="1"/>
  <c r="G9" i="16"/>
  <c r="N19" i="16"/>
  <c r="O19" i="16" s="1"/>
  <c r="N18" i="16"/>
  <c r="O18" i="16" s="1"/>
  <c r="U32" i="16"/>
  <c r="U33" i="16" s="1"/>
  <c r="O32" i="16"/>
  <c r="O33" i="16" s="1"/>
  <c r="N32" i="16"/>
  <c r="N33" i="16" s="1"/>
  <c r="S32" i="16"/>
  <c r="S33" i="16" s="1"/>
  <c r="Q32" i="16"/>
  <c r="Q33" i="16" s="1"/>
  <c r="R32" i="16"/>
  <c r="R33" i="16" s="1"/>
  <c r="T32" i="16"/>
  <c r="T33" i="16" s="1"/>
  <c r="N9" i="16"/>
  <c r="O9" i="16" s="1"/>
  <c r="G10" i="16"/>
  <c r="G19" i="16"/>
  <c r="K29" i="15"/>
  <c r="M29" i="15" s="1"/>
  <c r="E15" i="15" s="1"/>
  <c r="F15" i="15" s="1"/>
  <c r="G15" i="15" s="1"/>
  <c r="L15" i="15" s="1"/>
  <c r="M15" i="15" s="1"/>
  <c r="C27" i="15"/>
  <c r="H27" i="15" s="1"/>
  <c r="E7" i="15" s="1"/>
  <c r="F7" i="15" s="1"/>
  <c r="T26" i="15"/>
  <c r="U26" i="15" s="1"/>
  <c r="K8" i="16"/>
  <c r="L8" i="16"/>
  <c r="M8" i="16" s="1"/>
  <c r="N13" i="16"/>
  <c r="O13" i="16" s="1"/>
  <c r="G13" i="16"/>
  <c r="G15" i="16"/>
  <c r="N15" i="16"/>
  <c r="O15" i="16" s="1"/>
  <c r="C26" i="15"/>
  <c r="E26" i="15" s="1"/>
  <c r="E6" i="15" s="1"/>
  <c r="F6" i="15" s="1"/>
  <c r="N6" i="15" s="1"/>
  <c r="C28" i="15"/>
  <c r="I28" i="15" s="1"/>
  <c r="E10" i="15" s="1"/>
  <c r="F10" i="15" s="1"/>
  <c r="N10" i="15" s="1"/>
  <c r="G5" i="15"/>
  <c r="G19" i="15"/>
  <c r="L19" i="15" s="1"/>
  <c r="M19" i="15" s="1"/>
  <c r="G17" i="15"/>
  <c r="L17" i="15" s="1"/>
  <c r="M17" i="15" s="1"/>
  <c r="G16" i="15"/>
  <c r="L16" i="15" s="1"/>
  <c r="M16" i="15" s="1"/>
  <c r="G12" i="15"/>
  <c r="L12" i="15" s="1"/>
  <c r="M12" i="15" s="1"/>
  <c r="G11" i="15"/>
  <c r="L11" i="15" s="1"/>
  <c r="M11" i="15" s="1"/>
  <c r="G9" i="15"/>
  <c r="L9" i="15" s="1"/>
  <c r="M9" i="15" s="1"/>
  <c r="G8" i="15"/>
  <c r="L8" i="15" s="1"/>
  <c r="M8" i="15" s="1"/>
  <c r="N7" i="15" l="1"/>
  <c r="O7" i="15" s="1"/>
  <c r="N15" i="15"/>
  <c r="O15" i="15" s="1"/>
  <c r="L10" i="16"/>
  <c r="M10" i="16" s="1"/>
  <c r="L9" i="16"/>
  <c r="M9" i="16" s="1"/>
  <c r="L15" i="16"/>
  <c r="M15" i="16" s="1"/>
  <c r="L13" i="16"/>
  <c r="M13" i="16" s="1"/>
  <c r="L19" i="16"/>
  <c r="M19" i="16" s="1"/>
  <c r="V32" i="16"/>
  <c r="V33" i="16"/>
  <c r="G7" i="15"/>
  <c r="L7" i="15" s="1"/>
  <c r="M7" i="15" s="1"/>
  <c r="G10" i="15"/>
  <c r="L10" i="15" s="1"/>
  <c r="M10" i="15" s="1"/>
  <c r="O10" i="15"/>
  <c r="G6" i="15"/>
  <c r="L6" i="15" s="1"/>
  <c r="M6" i="15" s="1"/>
  <c r="O6" i="15"/>
  <c r="U27" i="15"/>
  <c r="U28" i="15" s="1"/>
  <c r="T27" i="15"/>
  <c r="T28" i="15" s="1"/>
  <c r="P27" i="15"/>
  <c r="P28" i="15" s="1"/>
  <c r="S27" i="15"/>
  <c r="S28" i="15" s="1"/>
  <c r="O27" i="15"/>
  <c r="O28" i="15" s="1"/>
  <c r="R27" i="15"/>
  <c r="R28" i="15" s="1"/>
  <c r="N27" i="15"/>
  <c r="Q27" i="15"/>
  <c r="Q28" i="15" s="1"/>
  <c r="K5" i="15"/>
  <c r="L5" i="15"/>
  <c r="M5" i="15" s="1"/>
  <c r="F17" i="16" l="1"/>
  <c r="P17" i="16" s="1"/>
  <c r="V27" i="15"/>
  <c r="N28" i="15"/>
  <c r="V28" i="15" s="1"/>
  <c r="Y26" i="13"/>
  <c r="Y25" i="13"/>
  <c r="W26" i="13"/>
  <c r="W25" i="13"/>
  <c r="Y37" i="13"/>
  <c r="W37" i="13"/>
  <c r="Y36" i="13"/>
  <c r="W36" i="13"/>
  <c r="Y35" i="13"/>
  <c r="W35" i="13"/>
  <c r="Y34" i="13"/>
  <c r="W34" i="13"/>
  <c r="Y33" i="13"/>
  <c r="W33" i="13"/>
  <c r="Y32" i="13"/>
  <c r="W32" i="13"/>
  <c r="Y31" i="13"/>
  <c r="W31" i="13"/>
  <c r="Y30" i="13"/>
  <c r="W30" i="13"/>
  <c r="Y29" i="13"/>
  <c r="W29" i="13"/>
  <c r="Y28" i="13"/>
  <c r="W28" i="13"/>
  <c r="Y27" i="13"/>
  <c r="W27" i="13"/>
  <c r="Y37" i="12"/>
  <c r="Y36" i="12"/>
  <c r="Y35" i="12"/>
  <c r="Y34" i="12"/>
  <c r="Y33" i="12"/>
  <c r="Y32" i="12"/>
  <c r="Y31" i="12"/>
  <c r="Y30" i="12"/>
  <c r="Y29" i="12"/>
  <c r="Y28" i="12"/>
  <c r="Y27" i="12"/>
  <c r="W37" i="12"/>
  <c r="W36" i="12"/>
  <c r="W35" i="12"/>
  <c r="W34" i="12"/>
  <c r="W33" i="12"/>
  <c r="W32" i="12"/>
  <c r="W31" i="12"/>
  <c r="W30" i="12"/>
  <c r="W29" i="12"/>
  <c r="W28" i="12"/>
  <c r="W27" i="12"/>
  <c r="Y26" i="12"/>
  <c r="Y25" i="12"/>
  <c r="W26" i="12"/>
  <c r="W25" i="12"/>
  <c r="Y37" i="11"/>
  <c r="Y36" i="11"/>
  <c r="Y35" i="11"/>
  <c r="Y34" i="11"/>
  <c r="Y33" i="11"/>
  <c r="Y32" i="11"/>
  <c r="Y31" i="11"/>
  <c r="Y30" i="11"/>
  <c r="Y29" i="11"/>
  <c r="Y28" i="11"/>
  <c r="Y27" i="11"/>
  <c r="Y26" i="11"/>
  <c r="Y25" i="11"/>
  <c r="W37" i="11"/>
  <c r="W36" i="11"/>
  <c r="W35" i="11"/>
  <c r="W34" i="11"/>
  <c r="W33" i="11"/>
  <c r="W32" i="11"/>
  <c r="W31" i="11"/>
  <c r="W30" i="11"/>
  <c r="W29" i="11"/>
  <c r="W28" i="11"/>
  <c r="W27" i="11"/>
  <c r="W26" i="11"/>
  <c r="W25" i="11"/>
  <c r="U26" i="13"/>
  <c r="U25" i="13"/>
  <c r="S26" i="13"/>
  <c r="S25" i="13"/>
  <c r="Q26" i="13"/>
  <c r="Q25" i="13"/>
  <c r="O26" i="13"/>
  <c r="O25" i="13"/>
  <c r="M26" i="13"/>
  <c r="M25" i="13"/>
  <c r="K26" i="13"/>
  <c r="K25" i="13"/>
  <c r="I26" i="13"/>
  <c r="I25" i="13"/>
  <c r="G26" i="13"/>
  <c r="G25" i="13"/>
  <c r="E26" i="13"/>
  <c r="E25" i="13"/>
  <c r="C26" i="13"/>
  <c r="C25" i="13"/>
  <c r="U26" i="12"/>
  <c r="U25" i="12"/>
  <c r="S26" i="12"/>
  <c r="S25" i="12"/>
  <c r="Q26" i="12"/>
  <c r="Q25" i="12"/>
  <c r="O26" i="12"/>
  <c r="O25" i="12"/>
  <c r="M26" i="12"/>
  <c r="M25" i="12"/>
  <c r="K26" i="12"/>
  <c r="K25" i="12"/>
  <c r="I26" i="12"/>
  <c r="I25" i="12"/>
  <c r="G26" i="12"/>
  <c r="G25" i="12"/>
  <c r="E26" i="12"/>
  <c r="E25" i="12"/>
  <c r="C26" i="12"/>
  <c r="C25" i="12"/>
  <c r="E14" i="12"/>
  <c r="F14" i="12" s="1"/>
  <c r="G14" i="12" s="1"/>
  <c r="E13" i="12"/>
  <c r="F13" i="12" s="1"/>
  <c r="G13" i="12" s="1"/>
  <c r="E14" i="11"/>
  <c r="F14" i="11" s="1"/>
  <c r="G14" i="11" s="1"/>
  <c r="E13" i="11"/>
  <c r="F13" i="11" s="1"/>
  <c r="G13" i="11" s="1"/>
  <c r="E13" i="13"/>
  <c r="F13" i="13" s="1"/>
  <c r="G13" i="13" s="1"/>
  <c r="E14" i="13"/>
  <c r="F14" i="13" s="1"/>
  <c r="G14" i="13" s="1"/>
  <c r="N17" i="16" l="1"/>
  <c r="O17" i="16" s="1"/>
  <c r="G17" i="16"/>
  <c r="L14" i="12"/>
  <c r="X29" i="12" s="1"/>
  <c r="T14" i="12"/>
  <c r="X33" i="12" s="1"/>
  <c r="AB14" i="12"/>
  <c r="X37" i="12" s="1"/>
  <c r="J14" i="12"/>
  <c r="X28" i="12" s="1"/>
  <c r="N14" i="12"/>
  <c r="X30" i="12" s="1"/>
  <c r="V14" i="12"/>
  <c r="X34" i="12" s="1"/>
  <c r="R14" i="12"/>
  <c r="X32" i="12" s="1"/>
  <c r="H14" i="12"/>
  <c r="X27" i="12" s="1"/>
  <c r="P14" i="12"/>
  <c r="X31" i="12" s="1"/>
  <c r="X14" i="12"/>
  <c r="X35" i="12" s="1"/>
  <c r="Z14" i="12"/>
  <c r="X36" i="12" s="1"/>
  <c r="J13" i="12"/>
  <c r="V28" i="12" s="1"/>
  <c r="L13" i="12"/>
  <c r="V29" i="12" s="1"/>
  <c r="T13" i="12"/>
  <c r="V33" i="12" s="1"/>
  <c r="AB13" i="12"/>
  <c r="V37" i="12" s="1"/>
  <c r="N13" i="12"/>
  <c r="V30" i="12" s="1"/>
  <c r="V13" i="12"/>
  <c r="V34" i="12" s="1"/>
  <c r="H13" i="12"/>
  <c r="V27" i="12" s="1"/>
  <c r="P13" i="12"/>
  <c r="V31" i="12" s="1"/>
  <c r="X13" i="12"/>
  <c r="V35" i="12" s="1"/>
  <c r="R13" i="12"/>
  <c r="V32" i="12" s="1"/>
  <c r="Z13" i="12"/>
  <c r="V36" i="12" s="1"/>
  <c r="J14" i="11"/>
  <c r="X28" i="11" s="1"/>
  <c r="L14" i="11"/>
  <c r="X29" i="11" s="1"/>
  <c r="T14" i="11"/>
  <c r="X33" i="11" s="1"/>
  <c r="AB14" i="11"/>
  <c r="X37" i="11" s="1"/>
  <c r="N14" i="11"/>
  <c r="X30" i="11" s="1"/>
  <c r="V14" i="11"/>
  <c r="X34" i="11" s="1"/>
  <c r="R14" i="11"/>
  <c r="X32" i="11" s="1"/>
  <c r="H14" i="11"/>
  <c r="X27" i="11" s="1"/>
  <c r="P14" i="11"/>
  <c r="X31" i="11" s="1"/>
  <c r="X14" i="11"/>
  <c r="X35" i="11" s="1"/>
  <c r="Z14" i="11"/>
  <c r="X36" i="11" s="1"/>
  <c r="L13" i="11"/>
  <c r="V29" i="11" s="1"/>
  <c r="T13" i="11"/>
  <c r="V33" i="11" s="1"/>
  <c r="AB13" i="11"/>
  <c r="V37" i="11" s="1"/>
  <c r="N13" i="11"/>
  <c r="V30" i="11" s="1"/>
  <c r="V13" i="11"/>
  <c r="V34" i="11" s="1"/>
  <c r="H13" i="11"/>
  <c r="V27" i="11" s="1"/>
  <c r="P13" i="11"/>
  <c r="V31" i="11" s="1"/>
  <c r="X13" i="11"/>
  <c r="V35" i="11" s="1"/>
  <c r="J13" i="11"/>
  <c r="V28" i="11" s="1"/>
  <c r="R13" i="11"/>
  <c r="V32" i="11" s="1"/>
  <c r="Z13" i="11"/>
  <c r="V36" i="11" s="1"/>
  <c r="L13" i="13"/>
  <c r="V29" i="13" s="1"/>
  <c r="T13" i="13"/>
  <c r="V33" i="13" s="1"/>
  <c r="N13" i="13"/>
  <c r="V30" i="13" s="1"/>
  <c r="V13" i="13"/>
  <c r="V34" i="13" s="1"/>
  <c r="H13" i="13"/>
  <c r="V27" i="13" s="1"/>
  <c r="P13" i="13"/>
  <c r="V31" i="13" s="1"/>
  <c r="X13" i="13"/>
  <c r="V35" i="13" s="1"/>
  <c r="J13" i="13"/>
  <c r="V28" i="13" s="1"/>
  <c r="R13" i="13"/>
  <c r="V32" i="13" s="1"/>
  <c r="Z13" i="13"/>
  <c r="V36" i="13" s="1"/>
  <c r="AB13" i="13"/>
  <c r="V37" i="13" s="1"/>
  <c r="J14" i="13"/>
  <c r="X28" i="13" s="1"/>
  <c r="R14" i="13"/>
  <c r="X32" i="13" s="1"/>
  <c r="Z14" i="13"/>
  <c r="X36" i="13" s="1"/>
  <c r="L14" i="13"/>
  <c r="X29" i="13" s="1"/>
  <c r="T14" i="13"/>
  <c r="X33" i="13" s="1"/>
  <c r="AB14" i="13"/>
  <c r="X37" i="13" s="1"/>
  <c r="N14" i="13"/>
  <c r="X30" i="13" s="1"/>
  <c r="V14" i="13"/>
  <c r="X34" i="13" s="1"/>
  <c r="H14" i="13"/>
  <c r="X27" i="13" s="1"/>
  <c r="P14" i="13"/>
  <c r="X31" i="13" s="1"/>
  <c r="X14" i="13"/>
  <c r="X35" i="13" s="1"/>
  <c r="E30" i="6"/>
  <c r="Q30" i="6" l="1"/>
  <c r="R30" i="6" s="1"/>
  <c r="AB30" i="6"/>
  <c r="AC30" i="6" s="1"/>
  <c r="F30" i="6"/>
  <c r="G30" i="6" s="1"/>
  <c r="I30" i="6" s="1"/>
  <c r="X25" i="11" s="1"/>
  <c r="L17" i="16"/>
  <c r="M17" i="16" s="1"/>
  <c r="E28" i="6"/>
  <c r="F28" i="6" s="1"/>
  <c r="G28" i="6" s="1"/>
  <c r="H30" i="6" l="1"/>
  <c r="X26" i="11" s="1"/>
  <c r="AD30" i="6"/>
  <c r="AE30" i="6"/>
  <c r="T30" i="6"/>
  <c r="X25" i="12" s="1"/>
  <c r="S30" i="6"/>
  <c r="X26" i="12" s="1"/>
  <c r="AB28" i="6"/>
  <c r="AC28" i="6" s="1"/>
  <c r="AE28" i="6" s="1"/>
  <c r="V25" i="13" s="1"/>
  <c r="Q28" i="6"/>
  <c r="R28" i="6" s="1"/>
  <c r="T28" i="6" s="1"/>
  <c r="V25" i="12" s="1"/>
  <c r="I28" i="6"/>
  <c r="V25" i="11" s="1"/>
  <c r="H28" i="6"/>
  <c r="V26" i="11" s="1"/>
  <c r="Q25" i="11"/>
  <c r="X25" i="13" l="1"/>
  <c r="X26" i="17"/>
  <c r="X27" i="17"/>
  <c r="X26" i="13"/>
  <c r="S28" i="6"/>
  <c r="V26" i="12" s="1"/>
  <c r="AD28" i="6"/>
  <c r="V26" i="13" s="1"/>
  <c r="E35" i="6"/>
  <c r="E33" i="6"/>
  <c r="AB33" i="6" s="1"/>
  <c r="AC33" i="6" s="1"/>
  <c r="E32" i="6"/>
  <c r="AB32" i="6" s="1"/>
  <c r="AC32" i="6" s="1"/>
  <c r="E31" i="6"/>
  <c r="AB31" i="6" s="1"/>
  <c r="AC31" i="6" s="1"/>
  <c r="E27" i="6"/>
  <c r="AB27" i="6" s="1"/>
  <c r="AC27" i="6" s="1"/>
  <c r="E26" i="6"/>
  <c r="AB26" i="6" s="1"/>
  <c r="AC26" i="6" s="1"/>
  <c r="AA25" i="6"/>
  <c r="E25" i="6"/>
  <c r="AA24" i="6"/>
  <c r="E24" i="6"/>
  <c r="F24" i="6" s="1"/>
  <c r="G24" i="6" s="1"/>
  <c r="AA23" i="6"/>
  <c r="E23" i="6"/>
  <c r="F23" i="6" s="1"/>
  <c r="G23" i="6" s="1"/>
  <c r="I23" i="6" s="1"/>
  <c r="AA22" i="6"/>
  <c r="E22" i="6"/>
  <c r="AA21" i="6"/>
  <c r="E21" i="6"/>
  <c r="Q21" i="6" s="1"/>
  <c r="R21" i="6" s="1"/>
  <c r="F33" i="6" l="1"/>
  <c r="G33" i="6" s="1"/>
  <c r="I33" i="6" s="1"/>
  <c r="AB22" i="6"/>
  <c r="AC22" i="6" s="1"/>
  <c r="AE22" i="6" s="1"/>
  <c r="AB24" i="6"/>
  <c r="AC24" i="6" s="1"/>
  <c r="AE24" i="6" s="1"/>
  <c r="Q31" i="6"/>
  <c r="R31" i="6" s="1"/>
  <c r="T31" i="6" s="1"/>
  <c r="N25" i="12" s="1"/>
  <c r="Q25" i="6"/>
  <c r="R25" i="6" s="1"/>
  <c r="T25" i="6" s="1"/>
  <c r="H25" i="12" s="1"/>
  <c r="F26" i="6"/>
  <c r="G26" i="6" s="1"/>
  <c r="H26" i="6" s="1"/>
  <c r="F31" i="6"/>
  <c r="G31" i="6" s="1"/>
  <c r="I31" i="6" s="1"/>
  <c r="Q24" i="6"/>
  <c r="R24" i="6" s="1"/>
  <c r="T24" i="6" s="1"/>
  <c r="F25" i="12" s="1"/>
  <c r="Q33" i="6"/>
  <c r="R33" i="6" s="1"/>
  <c r="S33" i="6" s="1"/>
  <c r="R26" i="12" s="1"/>
  <c r="Q35" i="6"/>
  <c r="R35" i="6" s="1"/>
  <c r="S35" i="6" s="1"/>
  <c r="T26" i="12" s="1"/>
  <c r="F22" i="6"/>
  <c r="G22" i="6" s="1"/>
  <c r="I22" i="6" s="1"/>
  <c r="Q23" i="6"/>
  <c r="R23" i="6" s="1"/>
  <c r="S23" i="6" s="1"/>
  <c r="D26" i="12" s="1"/>
  <c r="AB23" i="6"/>
  <c r="AC23" i="6" s="1"/>
  <c r="AE23" i="6" s="1"/>
  <c r="T21" i="6"/>
  <c r="S21" i="6"/>
  <c r="AE32" i="6"/>
  <c r="AD32" i="6"/>
  <c r="I24" i="6"/>
  <c r="H24" i="6"/>
  <c r="AD26" i="6"/>
  <c r="AE26" i="6"/>
  <c r="S25" i="6"/>
  <c r="H26" i="12" s="1"/>
  <c r="AD31" i="6"/>
  <c r="AE31" i="6"/>
  <c r="AD33" i="6"/>
  <c r="AE33" i="6"/>
  <c r="AE27" i="6"/>
  <c r="AD27" i="6"/>
  <c r="AD23" i="6"/>
  <c r="AB21" i="6"/>
  <c r="AC21" i="6" s="1"/>
  <c r="AB25" i="6"/>
  <c r="AC25" i="6" s="1"/>
  <c r="AB35" i="6"/>
  <c r="AC35" i="6" s="1"/>
  <c r="F21" i="6"/>
  <c r="G21" i="6" s="1"/>
  <c r="Q22" i="6"/>
  <c r="R22" i="6" s="1"/>
  <c r="H23" i="6"/>
  <c r="F25" i="6"/>
  <c r="G25" i="6" s="1"/>
  <c r="Q26" i="6"/>
  <c r="R26" i="6" s="1"/>
  <c r="H31" i="6"/>
  <c r="F32" i="6"/>
  <c r="G32" i="6" s="1"/>
  <c r="H33" i="6"/>
  <c r="F35" i="6"/>
  <c r="G35" i="6" s="1"/>
  <c r="F27" i="6"/>
  <c r="G27" i="6" s="1"/>
  <c r="Q27" i="6"/>
  <c r="R27" i="6" s="1"/>
  <c r="Q32" i="6"/>
  <c r="R32" i="6" s="1"/>
  <c r="N26" i="17" l="1"/>
  <c r="N25" i="13"/>
  <c r="J27" i="17"/>
  <c r="J26" i="13"/>
  <c r="P26" i="17"/>
  <c r="P25" i="13"/>
  <c r="N27" i="17"/>
  <c r="N26" i="13"/>
  <c r="F26" i="17"/>
  <c r="F25" i="13"/>
  <c r="R26" i="17"/>
  <c r="R25" i="13"/>
  <c r="B26" i="17"/>
  <c r="B25" i="13"/>
  <c r="D27" i="17"/>
  <c r="D26" i="13"/>
  <c r="R27" i="17"/>
  <c r="R26" i="13"/>
  <c r="J26" i="17"/>
  <c r="J25" i="13"/>
  <c r="P27" i="17"/>
  <c r="P26" i="13"/>
  <c r="D26" i="17"/>
  <c r="D25" i="13"/>
  <c r="L27" i="17"/>
  <c r="L26" i="13"/>
  <c r="L25" i="13"/>
  <c r="I26" i="6"/>
  <c r="AD24" i="6"/>
  <c r="T33" i="6"/>
  <c r="R25" i="12" s="1"/>
  <c r="S31" i="6"/>
  <c r="N26" i="12" s="1"/>
  <c r="S24" i="6"/>
  <c r="F26" i="12" s="1"/>
  <c r="T23" i="6"/>
  <c r="D25" i="12" s="1"/>
  <c r="T35" i="6"/>
  <c r="T25" i="12" s="1"/>
  <c r="AD22" i="6"/>
  <c r="H22" i="6"/>
  <c r="T32" i="6"/>
  <c r="P25" i="12" s="1"/>
  <c r="S32" i="6"/>
  <c r="P26" i="12" s="1"/>
  <c r="I21" i="6"/>
  <c r="H21" i="6"/>
  <c r="I27" i="6"/>
  <c r="H27" i="6"/>
  <c r="AE25" i="6"/>
  <c r="AD25" i="6"/>
  <c r="I35" i="6"/>
  <c r="H35" i="6"/>
  <c r="T26" i="6"/>
  <c r="J25" i="12" s="1"/>
  <c r="S26" i="6"/>
  <c r="J26" i="12" s="1"/>
  <c r="S22" i="6"/>
  <c r="B26" i="12" s="1"/>
  <c r="T22" i="6"/>
  <c r="B25" i="12" s="1"/>
  <c r="AE21" i="6"/>
  <c r="AD21" i="6"/>
  <c r="I25" i="6"/>
  <c r="H25" i="6"/>
  <c r="T27" i="6"/>
  <c r="L25" i="12" s="1"/>
  <c r="S27" i="6"/>
  <c r="L26" i="12" s="1"/>
  <c r="I32" i="6"/>
  <c r="H32" i="6"/>
  <c r="AE35" i="6"/>
  <c r="T25" i="13" s="1"/>
  <c r="AD35" i="6"/>
  <c r="T26" i="13" s="1"/>
  <c r="H27" i="17" l="1"/>
  <c r="H26" i="13"/>
  <c r="H26" i="17"/>
  <c r="H25" i="13"/>
  <c r="B27" i="17"/>
  <c r="B26" i="13"/>
  <c r="F27" i="17"/>
  <c r="F26" i="13"/>
  <c r="S38" i="11"/>
  <c r="Q38" i="11"/>
  <c r="S38" i="12"/>
  <c r="Q38" i="12"/>
  <c r="S38" i="13" l="1"/>
  <c r="Q38" i="13"/>
  <c r="E18" i="11" l="1"/>
  <c r="F18" i="11" s="1"/>
  <c r="G18" i="11" s="1"/>
  <c r="E17" i="11"/>
  <c r="F17" i="11" s="1"/>
  <c r="G17" i="11" s="1"/>
  <c r="E16" i="11"/>
  <c r="F16" i="11" s="1"/>
  <c r="G16" i="11" s="1"/>
  <c r="E15" i="11"/>
  <c r="F15" i="11" s="1"/>
  <c r="G15" i="11" s="1"/>
  <c r="E12" i="11"/>
  <c r="F12" i="11" s="1"/>
  <c r="G12" i="11" s="1"/>
  <c r="E11" i="11"/>
  <c r="F11" i="11" s="1"/>
  <c r="G11" i="11" s="1"/>
  <c r="E10" i="11"/>
  <c r="F10" i="11" s="1"/>
  <c r="G10" i="11" s="1"/>
  <c r="E9" i="11"/>
  <c r="F9" i="11" s="1"/>
  <c r="G9" i="11" s="1"/>
  <c r="E8" i="11"/>
  <c r="F8" i="11" s="1"/>
  <c r="G8" i="11" s="1"/>
  <c r="E7" i="11"/>
  <c r="F7" i="11" s="1"/>
  <c r="G7" i="11" s="1"/>
  <c r="E6" i="11"/>
  <c r="F6" i="11" s="1"/>
  <c r="G6" i="11" s="1"/>
  <c r="E18" i="12"/>
  <c r="F18" i="12" s="1"/>
  <c r="G18" i="12" s="1"/>
  <c r="Z18" i="12" s="1"/>
  <c r="E17" i="12"/>
  <c r="F17" i="12" s="1"/>
  <c r="G17" i="12" s="1"/>
  <c r="E16" i="12"/>
  <c r="F16" i="12" s="1"/>
  <c r="G16" i="12" s="1"/>
  <c r="E15" i="12"/>
  <c r="F15" i="12" s="1"/>
  <c r="G15" i="12" s="1"/>
  <c r="E12" i="12"/>
  <c r="F12" i="12" s="1"/>
  <c r="G12" i="12" s="1"/>
  <c r="E11" i="12"/>
  <c r="F11" i="12" s="1"/>
  <c r="G11" i="12" s="1"/>
  <c r="E10" i="12"/>
  <c r="F10" i="12" s="1"/>
  <c r="G10" i="12" s="1"/>
  <c r="E9" i="12"/>
  <c r="F9" i="12" s="1"/>
  <c r="G9" i="12" s="1"/>
  <c r="E8" i="12"/>
  <c r="F8" i="12" s="1"/>
  <c r="G8" i="12" s="1"/>
  <c r="E7" i="12"/>
  <c r="F7" i="12" s="1"/>
  <c r="G7" i="12" s="1"/>
  <c r="E6" i="12"/>
  <c r="F6" i="12" s="1"/>
  <c r="G6" i="12" s="1"/>
  <c r="AB9" i="11" l="1"/>
  <c r="H9" i="11"/>
  <c r="P9" i="11"/>
  <c r="Z9" i="11"/>
  <c r="T9" i="11"/>
  <c r="L9" i="11"/>
  <c r="N9" i="11"/>
  <c r="R9" i="11"/>
  <c r="X9" i="11"/>
  <c r="V9" i="11"/>
  <c r="J9" i="11"/>
  <c r="R15" i="11"/>
  <c r="P15" i="11"/>
  <c r="V15" i="11"/>
  <c r="J15" i="11"/>
  <c r="H15" i="11"/>
  <c r="N15" i="11"/>
  <c r="T15" i="11"/>
  <c r="AB15" i="11"/>
  <c r="Z15" i="11"/>
  <c r="X15" i="11"/>
  <c r="L15" i="11"/>
  <c r="V9" i="12"/>
  <c r="Z9" i="12"/>
  <c r="R9" i="12"/>
  <c r="N9" i="12"/>
  <c r="J9" i="12"/>
  <c r="L9" i="12"/>
  <c r="X9" i="12"/>
  <c r="T9" i="12"/>
  <c r="H9" i="12"/>
  <c r="P9" i="12"/>
  <c r="AB9" i="12"/>
  <c r="P15" i="12"/>
  <c r="T15" i="12"/>
  <c r="Z15" i="12"/>
  <c r="V15" i="12"/>
  <c r="R15" i="12"/>
  <c r="X15" i="12"/>
  <c r="L15" i="12"/>
  <c r="J15" i="12"/>
  <c r="N15" i="12"/>
  <c r="H15" i="12"/>
  <c r="AB15" i="12"/>
  <c r="H6" i="11"/>
  <c r="N6" i="11"/>
  <c r="L6" i="11"/>
  <c r="Z6" i="11"/>
  <c r="R6" i="11"/>
  <c r="V6" i="11"/>
  <c r="X6" i="11"/>
  <c r="J6" i="11"/>
  <c r="AB6" i="11"/>
  <c r="P6" i="11"/>
  <c r="T6" i="11"/>
  <c r="X10" i="11"/>
  <c r="V10" i="11"/>
  <c r="AB10" i="11"/>
  <c r="P10" i="11"/>
  <c r="N10" i="11"/>
  <c r="T10" i="11"/>
  <c r="H10" i="11"/>
  <c r="Z10" i="11"/>
  <c r="L10" i="11"/>
  <c r="R10" i="11"/>
  <c r="J10" i="11"/>
  <c r="V16" i="11"/>
  <c r="P16" i="11"/>
  <c r="Z16" i="11"/>
  <c r="J16" i="11"/>
  <c r="X16" i="11"/>
  <c r="H16" i="11"/>
  <c r="AD16" i="11"/>
  <c r="P38" i="11" s="1"/>
  <c r="R16" i="11"/>
  <c r="AB16" i="11"/>
  <c r="L16" i="11"/>
  <c r="N16" i="11"/>
  <c r="T16" i="11"/>
  <c r="P6" i="12"/>
  <c r="V6" i="12"/>
  <c r="R6" i="12"/>
  <c r="T6" i="12"/>
  <c r="N6" i="12"/>
  <c r="AB6" i="12"/>
  <c r="J6" i="12"/>
  <c r="H6" i="12"/>
  <c r="Z6" i="12"/>
  <c r="X6" i="12"/>
  <c r="L6" i="12"/>
  <c r="X10" i="12"/>
  <c r="H10" i="12"/>
  <c r="AB10" i="12"/>
  <c r="N10" i="12"/>
  <c r="P10" i="12"/>
  <c r="J10" i="12"/>
  <c r="Z10" i="12"/>
  <c r="T10" i="12"/>
  <c r="R10" i="12"/>
  <c r="L10" i="12"/>
  <c r="V10" i="12"/>
  <c r="P16" i="12"/>
  <c r="J16" i="12"/>
  <c r="N16" i="12"/>
  <c r="X16" i="12"/>
  <c r="AB16" i="12"/>
  <c r="AD16" i="12"/>
  <c r="P38" i="12" s="1"/>
  <c r="R16" i="12"/>
  <c r="L16" i="12"/>
  <c r="V16" i="12"/>
  <c r="H16" i="12"/>
  <c r="Z16" i="12"/>
  <c r="T16" i="12"/>
  <c r="V7" i="11"/>
  <c r="X7" i="11"/>
  <c r="P7" i="11"/>
  <c r="H7" i="11"/>
  <c r="J7" i="11"/>
  <c r="L7" i="11"/>
  <c r="R7" i="11"/>
  <c r="T7" i="11"/>
  <c r="N7" i="11"/>
  <c r="Z7" i="11"/>
  <c r="AB7" i="11"/>
  <c r="V11" i="11"/>
  <c r="H11" i="11"/>
  <c r="X11" i="11"/>
  <c r="P11" i="11"/>
  <c r="R11" i="11"/>
  <c r="T11" i="11"/>
  <c r="L11" i="11"/>
  <c r="Z11" i="11"/>
  <c r="AB11" i="11"/>
  <c r="J11" i="11"/>
  <c r="N11" i="11"/>
  <c r="V17" i="11"/>
  <c r="X17" i="11"/>
  <c r="P17" i="11"/>
  <c r="AD17" i="11"/>
  <c r="R38" i="11" s="1"/>
  <c r="H17" i="11"/>
  <c r="T17" i="11"/>
  <c r="N17" i="11"/>
  <c r="J17" i="11"/>
  <c r="AB17" i="11"/>
  <c r="Z17" i="11"/>
  <c r="R17" i="11"/>
  <c r="L17" i="11"/>
  <c r="R7" i="12"/>
  <c r="V7" i="12"/>
  <c r="AB7" i="12"/>
  <c r="H7" i="12"/>
  <c r="J7" i="12"/>
  <c r="N7" i="12"/>
  <c r="P7" i="12"/>
  <c r="T7" i="12"/>
  <c r="X7" i="12"/>
  <c r="L7" i="12"/>
  <c r="Z7" i="12"/>
  <c r="T11" i="12"/>
  <c r="X11" i="12"/>
  <c r="H11" i="12"/>
  <c r="AB11" i="12"/>
  <c r="Z11" i="12"/>
  <c r="P11" i="12"/>
  <c r="L11" i="12"/>
  <c r="N11" i="12"/>
  <c r="R11" i="12"/>
  <c r="V11" i="12"/>
  <c r="J11" i="12"/>
  <c r="AD17" i="12"/>
  <c r="R38" i="12" s="1"/>
  <c r="V17" i="12"/>
  <c r="L17" i="12"/>
  <c r="X17" i="12"/>
  <c r="N17" i="12"/>
  <c r="Z17" i="12"/>
  <c r="P17" i="12"/>
  <c r="T17" i="12"/>
  <c r="AB17" i="12"/>
  <c r="R17" i="12"/>
  <c r="H17" i="12"/>
  <c r="J17" i="12"/>
  <c r="AB18" i="11"/>
  <c r="N18" i="11"/>
  <c r="V18" i="11"/>
  <c r="R18" i="11"/>
  <c r="Z18" i="11"/>
  <c r="L18" i="11"/>
  <c r="T18" i="11"/>
  <c r="H18" i="11"/>
  <c r="J18" i="11"/>
  <c r="P18" i="11"/>
  <c r="X18" i="11"/>
  <c r="T18" i="12"/>
  <c r="J18" i="12"/>
  <c r="N18" i="12"/>
  <c r="X18" i="12"/>
  <c r="V18" i="12"/>
  <c r="P18" i="12"/>
  <c r="AB18" i="12"/>
  <c r="R18" i="12"/>
  <c r="H18" i="12"/>
  <c r="L18" i="12"/>
  <c r="AB12" i="11"/>
  <c r="X12" i="11"/>
  <c r="Z12" i="11"/>
  <c r="V12" i="11"/>
  <c r="T12" i="11"/>
  <c r="N12" i="11"/>
  <c r="J12" i="11"/>
  <c r="P12" i="11"/>
  <c r="R12" i="11"/>
  <c r="L12" i="11"/>
  <c r="H12" i="11"/>
  <c r="Z12" i="12"/>
  <c r="H12" i="12"/>
  <c r="T12" i="12"/>
  <c r="V12" i="12"/>
  <c r="X12" i="12"/>
  <c r="N12" i="12"/>
  <c r="R12" i="12"/>
  <c r="P12" i="12"/>
  <c r="AB12" i="12"/>
  <c r="J12" i="12"/>
  <c r="L12" i="12"/>
  <c r="AB8" i="11"/>
  <c r="H8" i="11"/>
  <c r="J8" i="11"/>
  <c r="V8" i="11"/>
  <c r="T8" i="11"/>
  <c r="R8" i="11"/>
  <c r="Z8" i="11"/>
  <c r="P8" i="11"/>
  <c r="X8" i="11"/>
  <c r="N8" i="11"/>
  <c r="L8" i="11"/>
  <c r="Z8" i="12"/>
  <c r="H8" i="12"/>
  <c r="R8" i="12"/>
  <c r="N8" i="12"/>
  <c r="V8" i="12"/>
  <c r="AB8" i="12"/>
  <c r="P8" i="12"/>
  <c r="J8" i="12"/>
  <c r="L8" i="12"/>
  <c r="X8" i="12"/>
  <c r="T8" i="12"/>
  <c r="E18" i="13" l="1"/>
  <c r="E17" i="13"/>
  <c r="E16" i="13"/>
  <c r="E15" i="13"/>
  <c r="E12" i="13"/>
  <c r="E11" i="13"/>
  <c r="E10" i="13"/>
  <c r="E9" i="13"/>
  <c r="E8" i="13"/>
  <c r="E7" i="13"/>
  <c r="E6" i="13"/>
  <c r="U37" i="13" l="1"/>
  <c r="S37" i="13"/>
  <c r="Q37" i="13"/>
  <c r="O37" i="13"/>
  <c r="M37" i="13"/>
  <c r="K37" i="13"/>
  <c r="I37" i="13"/>
  <c r="G37" i="13"/>
  <c r="E37" i="13"/>
  <c r="C37" i="13"/>
  <c r="U36" i="13"/>
  <c r="S36" i="13"/>
  <c r="Q36" i="13"/>
  <c r="O36" i="13"/>
  <c r="M36" i="13"/>
  <c r="K36" i="13"/>
  <c r="I36" i="13"/>
  <c r="G36" i="13"/>
  <c r="E36" i="13"/>
  <c r="C36" i="13"/>
  <c r="U35" i="13"/>
  <c r="S35" i="13"/>
  <c r="Q35" i="13"/>
  <c r="O35" i="13"/>
  <c r="M35" i="13"/>
  <c r="K35" i="13"/>
  <c r="I35" i="13"/>
  <c r="G35" i="13"/>
  <c r="E35" i="13"/>
  <c r="C35" i="13"/>
  <c r="U34" i="13"/>
  <c r="S34" i="13"/>
  <c r="Q34" i="13"/>
  <c r="O34" i="13"/>
  <c r="M34" i="13"/>
  <c r="K34" i="13"/>
  <c r="I34" i="13"/>
  <c r="G34" i="13"/>
  <c r="E34" i="13"/>
  <c r="C34" i="13"/>
  <c r="U33" i="13"/>
  <c r="S33" i="13"/>
  <c r="Q33" i="13"/>
  <c r="O33" i="13"/>
  <c r="M33" i="13"/>
  <c r="K33" i="13"/>
  <c r="I33" i="13"/>
  <c r="G33" i="13"/>
  <c r="E33" i="13"/>
  <c r="C33" i="13"/>
  <c r="U32" i="13"/>
  <c r="S32" i="13"/>
  <c r="Q32" i="13"/>
  <c r="O32" i="13"/>
  <c r="M32" i="13"/>
  <c r="K32" i="13"/>
  <c r="I32" i="13"/>
  <c r="G32" i="13"/>
  <c r="E32" i="13"/>
  <c r="C32" i="13"/>
  <c r="U31" i="13"/>
  <c r="S31" i="13"/>
  <c r="Q31" i="13"/>
  <c r="O31" i="13"/>
  <c r="M31" i="13"/>
  <c r="K31" i="13"/>
  <c r="I31" i="13"/>
  <c r="G31" i="13"/>
  <c r="E31" i="13"/>
  <c r="C31" i="13"/>
  <c r="U30" i="13"/>
  <c r="S30" i="13"/>
  <c r="Q30" i="13"/>
  <c r="O30" i="13"/>
  <c r="M30" i="13"/>
  <c r="K30" i="13"/>
  <c r="I30" i="13"/>
  <c r="G30" i="13"/>
  <c r="E30" i="13"/>
  <c r="C30" i="13"/>
  <c r="U29" i="13"/>
  <c r="S29" i="13"/>
  <c r="Q29" i="13"/>
  <c r="O29" i="13"/>
  <c r="M29" i="13"/>
  <c r="K29" i="13"/>
  <c r="I29" i="13"/>
  <c r="G29" i="13"/>
  <c r="E29" i="13"/>
  <c r="C29" i="13"/>
  <c r="U28" i="13"/>
  <c r="S28" i="13"/>
  <c r="Q28" i="13"/>
  <c r="O28" i="13"/>
  <c r="M28" i="13"/>
  <c r="K28" i="13"/>
  <c r="I28" i="13"/>
  <c r="G28" i="13"/>
  <c r="E28" i="13"/>
  <c r="C28" i="13"/>
  <c r="U27" i="13"/>
  <c r="S27" i="13"/>
  <c r="Q27" i="13"/>
  <c r="O27" i="13"/>
  <c r="M27" i="13"/>
  <c r="K27" i="13"/>
  <c r="I27" i="13"/>
  <c r="G27" i="13"/>
  <c r="E27" i="13"/>
  <c r="C27" i="13"/>
  <c r="F18" i="13"/>
  <c r="G18" i="13" s="1"/>
  <c r="F17" i="13"/>
  <c r="G17" i="13" s="1"/>
  <c r="F16" i="13"/>
  <c r="G16" i="13" s="1"/>
  <c r="F15" i="13"/>
  <c r="G15" i="13" s="1"/>
  <c r="F12" i="13"/>
  <c r="G12" i="13" s="1"/>
  <c r="F11" i="13"/>
  <c r="G11" i="13" s="1"/>
  <c r="R11" i="13" s="1"/>
  <c r="J32" i="13" s="1"/>
  <c r="F10" i="13"/>
  <c r="G10" i="13" s="1"/>
  <c r="F9" i="13"/>
  <c r="G9" i="13" s="1"/>
  <c r="F8" i="13"/>
  <c r="G8" i="13" s="1"/>
  <c r="F7" i="13"/>
  <c r="G7" i="13" s="1"/>
  <c r="Z7" i="13" s="1"/>
  <c r="B36" i="13" s="1"/>
  <c r="F6" i="13"/>
  <c r="G6" i="13" s="1"/>
  <c r="U37" i="12"/>
  <c r="S37" i="12"/>
  <c r="Q37" i="12"/>
  <c r="O37" i="12"/>
  <c r="M37" i="12"/>
  <c r="K37" i="12"/>
  <c r="I37" i="12"/>
  <c r="G37" i="12"/>
  <c r="E37" i="12"/>
  <c r="C37" i="12"/>
  <c r="U36" i="12"/>
  <c r="S36" i="12"/>
  <c r="Q36" i="12"/>
  <c r="O36" i="12"/>
  <c r="M36" i="12"/>
  <c r="K36" i="12"/>
  <c r="I36" i="12"/>
  <c r="G36" i="12"/>
  <c r="E36" i="12"/>
  <c r="C36" i="12"/>
  <c r="U35" i="12"/>
  <c r="S35" i="12"/>
  <c r="Q35" i="12"/>
  <c r="O35" i="12"/>
  <c r="M35" i="12"/>
  <c r="K35" i="12"/>
  <c r="I35" i="12"/>
  <c r="G35" i="12"/>
  <c r="E35" i="12"/>
  <c r="C35" i="12"/>
  <c r="U34" i="12"/>
  <c r="S34" i="12"/>
  <c r="Q34" i="12"/>
  <c r="O34" i="12"/>
  <c r="M34" i="12"/>
  <c r="K34" i="12"/>
  <c r="I34" i="12"/>
  <c r="G34" i="12"/>
  <c r="E34" i="12"/>
  <c r="C34" i="12"/>
  <c r="U33" i="12"/>
  <c r="S33" i="12"/>
  <c r="Q33" i="12"/>
  <c r="O33" i="12"/>
  <c r="M33" i="12"/>
  <c r="K33" i="12"/>
  <c r="I33" i="12"/>
  <c r="G33" i="12"/>
  <c r="E33" i="12"/>
  <c r="C33" i="12"/>
  <c r="U32" i="12"/>
  <c r="S32" i="12"/>
  <c r="Q32" i="12"/>
  <c r="O32" i="12"/>
  <c r="M32" i="12"/>
  <c r="K32" i="12"/>
  <c r="I32" i="12"/>
  <c r="G32" i="12"/>
  <c r="E32" i="12"/>
  <c r="C32" i="12"/>
  <c r="U31" i="12"/>
  <c r="S31" i="12"/>
  <c r="Q31" i="12"/>
  <c r="O31" i="12"/>
  <c r="M31" i="12"/>
  <c r="K31" i="12"/>
  <c r="I31" i="12"/>
  <c r="G31" i="12"/>
  <c r="E31" i="12"/>
  <c r="C31" i="12"/>
  <c r="U30" i="12"/>
  <c r="S30" i="12"/>
  <c r="Q30" i="12"/>
  <c r="O30" i="12"/>
  <c r="M30" i="12"/>
  <c r="K30" i="12"/>
  <c r="I30" i="12"/>
  <c r="G30" i="12"/>
  <c r="E30" i="12"/>
  <c r="C30" i="12"/>
  <c r="U29" i="12"/>
  <c r="S29" i="12"/>
  <c r="Q29" i="12"/>
  <c r="O29" i="12"/>
  <c r="M29" i="12"/>
  <c r="K29" i="12"/>
  <c r="I29" i="12"/>
  <c r="G29" i="12"/>
  <c r="E29" i="12"/>
  <c r="C29" i="12"/>
  <c r="U28" i="12"/>
  <c r="S28" i="12"/>
  <c r="Q28" i="12"/>
  <c r="O28" i="12"/>
  <c r="M28" i="12"/>
  <c r="K28" i="12"/>
  <c r="I28" i="12"/>
  <c r="G28" i="12"/>
  <c r="E28" i="12"/>
  <c r="C28" i="12"/>
  <c r="U27" i="12"/>
  <c r="S27" i="12"/>
  <c r="Q27" i="12"/>
  <c r="O27" i="12"/>
  <c r="M27" i="12"/>
  <c r="K27" i="12"/>
  <c r="I27" i="12"/>
  <c r="G27" i="12"/>
  <c r="E27" i="12"/>
  <c r="C27" i="12"/>
  <c r="R36" i="12"/>
  <c r="P37" i="12"/>
  <c r="J28" i="12"/>
  <c r="H29" i="12"/>
  <c r="B28" i="12"/>
  <c r="U37" i="11"/>
  <c r="U36" i="11"/>
  <c r="U35" i="11"/>
  <c r="U34" i="11"/>
  <c r="U33" i="11"/>
  <c r="U32" i="11"/>
  <c r="U31" i="11"/>
  <c r="U30" i="11"/>
  <c r="U29" i="11"/>
  <c r="U28" i="11"/>
  <c r="U27" i="11"/>
  <c r="Q37" i="11"/>
  <c r="Q36" i="11"/>
  <c r="Q35" i="11"/>
  <c r="Q34" i="11"/>
  <c r="Q33" i="11"/>
  <c r="Q32" i="11"/>
  <c r="Q31" i="11"/>
  <c r="Q30" i="11"/>
  <c r="Q29" i="11"/>
  <c r="Q28" i="11"/>
  <c r="Q27" i="11"/>
  <c r="S27" i="11"/>
  <c r="S37" i="11"/>
  <c r="S36" i="11"/>
  <c r="S35" i="11"/>
  <c r="S34" i="11"/>
  <c r="S33" i="11"/>
  <c r="S32" i="11"/>
  <c r="S31" i="11"/>
  <c r="S30" i="11"/>
  <c r="S29" i="11"/>
  <c r="S28" i="11"/>
  <c r="O37" i="11"/>
  <c r="O36" i="11"/>
  <c r="O35" i="11"/>
  <c r="O34" i="11"/>
  <c r="O33" i="11"/>
  <c r="O32" i="11"/>
  <c r="O31" i="11"/>
  <c r="O30" i="11"/>
  <c r="O29" i="11"/>
  <c r="O28" i="11"/>
  <c r="O27" i="11"/>
  <c r="M37" i="11"/>
  <c r="M36" i="11"/>
  <c r="M35" i="11"/>
  <c r="M34" i="11"/>
  <c r="M33" i="11"/>
  <c r="M32" i="11"/>
  <c r="M31" i="11"/>
  <c r="M30" i="11"/>
  <c r="M29" i="11"/>
  <c r="M28" i="11"/>
  <c r="M27" i="11"/>
  <c r="K37" i="11"/>
  <c r="K36" i="11"/>
  <c r="K35" i="11"/>
  <c r="K34" i="11"/>
  <c r="K33" i="11"/>
  <c r="K32" i="11"/>
  <c r="K31" i="11"/>
  <c r="K30" i="11"/>
  <c r="K29" i="11"/>
  <c r="K28" i="11"/>
  <c r="K27" i="11"/>
  <c r="I37" i="11"/>
  <c r="I36" i="11"/>
  <c r="I35" i="11"/>
  <c r="I34" i="11"/>
  <c r="I33" i="11"/>
  <c r="I32" i="11"/>
  <c r="I31" i="11"/>
  <c r="I30" i="11"/>
  <c r="I29" i="11"/>
  <c r="I28" i="11"/>
  <c r="I27" i="11"/>
  <c r="G37" i="11"/>
  <c r="G36" i="11"/>
  <c r="G35" i="11"/>
  <c r="G34" i="11"/>
  <c r="G33" i="11"/>
  <c r="G32" i="11"/>
  <c r="G31" i="11"/>
  <c r="G30" i="11"/>
  <c r="G29" i="11"/>
  <c r="G28" i="11"/>
  <c r="G27" i="11"/>
  <c r="E37" i="11"/>
  <c r="E36" i="11"/>
  <c r="E35" i="11"/>
  <c r="E34" i="11"/>
  <c r="E33" i="11"/>
  <c r="E32" i="11"/>
  <c r="E31" i="11"/>
  <c r="E30" i="11"/>
  <c r="E29" i="11"/>
  <c r="E28" i="11"/>
  <c r="E27" i="11"/>
  <c r="C37" i="11"/>
  <c r="C36" i="11"/>
  <c r="C35" i="11"/>
  <c r="C34" i="11"/>
  <c r="C33" i="11"/>
  <c r="C32" i="11"/>
  <c r="C31" i="11"/>
  <c r="C30" i="11"/>
  <c r="C29" i="11"/>
  <c r="C28" i="11"/>
  <c r="C27" i="11"/>
  <c r="U26" i="11"/>
  <c r="U25" i="11"/>
  <c r="S26" i="11"/>
  <c r="S25" i="11"/>
  <c r="Q26" i="11"/>
  <c r="O26" i="11"/>
  <c r="O25" i="11"/>
  <c r="M26" i="11"/>
  <c r="M25" i="11"/>
  <c r="K26" i="11"/>
  <c r="K25" i="11"/>
  <c r="I26" i="11"/>
  <c r="I25" i="11"/>
  <c r="G26" i="11"/>
  <c r="G25" i="11"/>
  <c r="E26" i="11"/>
  <c r="E25" i="11"/>
  <c r="C26" i="11"/>
  <c r="C25" i="11"/>
  <c r="L17" i="13" l="1"/>
  <c r="R29" i="13" s="1"/>
  <c r="AD17" i="13"/>
  <c r="R38" i="13" s="1"/>
  <c r="AD16" i="13"/>
  <c r="P38" i="13" s="1"/>
  <c r="AB12" i="13"/>
  <c r="L37" i="13" s="1"/>
  <c r="R12" i="13"/>
  <c r="L32" i="13" s="1"/>
  <c r="L7" i="13"/>
  <c r="B29" i="13" s="1"/>
  <c r="Z11" i="13"/>
  <c r="J36" i="13" s="1"/>
  <c r="J7" i="13"/>
  <c r="B28" i="13" s="1"/>
  <c r="AB18" i="13"/>
  <c r="T37" i="13" s="1"/>
  <c r="R18" i="13"/>
  <c r="T32" i="13" s="1"/>
  <c r="Z18" i="13"/>
  <c r="T36" i="13" s="1"/>
  <c r="P18" i="13"/>
  <c r="T31" i="13" s="1"/>
  <c r="X18" i="13"/>
  <c r="T35" i="13" s="1"/>
  <c r="H18" i="13"/>
  <c r="T27" i="13" s="1"/>
  <c r="J18" i="13"/>
  <c r="T28" i="13" s="1"/>
  <c r="T17" i="13"/>
  <c r="R33" i="13" s="1"/>
  <c r="AB17" i="13"/>
  <c r="R37" i="13" s="1"/>
  <c r="N16" i="13"/>
  <c r="P30" i="13" s="1"/>
  <c r="V16" i="13"/>
  <c r="P34" i="13" s="1"/>
  <c r="P15" i="13"/>
  <c r="N31" i="13" s="1"/>
  <c r="X15" i="13"/>
  <c r="N35" i="13" s="1"/>
  <c r="H15" i="13"/>
  <c r="N27" i="13" s="1"/>
  <c r="H12" i="13"/>
  <c r="L27" i="13" s="1"/>
  <c r="X12" i="13"/>
  <c r="L35" i="13" s="1"/>
  <c r="J12" i="13"/>
  <c r="L28" i="13" s="1"/>
  <c r="Z12" i="13"/>
  <c r="L36" i="13" s="1"/>
  <c r="P12" i="13"/>
  <c r="L31" i="13" s="1"/>
  <c r="J11" i="13"/>
  <c r="J28" i="13" s="1"/>
  <c r="X9" i="13"/>
  <c r="F35" i="13" s="1"/>
  <c r="N9" i="13"/>
  <c r="F30" i="13" s="1"/>
  <c r="H9" i="13"/>
  <c r="F27" i="13" s="1"/>
  <c r="AB8" i="13"/>
  <c r="D37" i="13" s="1"/>
  <c r="X8" i="13"/>
  <c r="D35" i="13" s="1"/>
  <c r="H8" i="13"/>
  <c r="D27" i="13" s="1"/>
  <c r="R8" i="13"/>
  <c r="D32" i="13" s="1"/>
  <c r="Z8" i="13"/>
  <c r="D36" i="13" s="1"/>
  <c r="J8" i="13"/>
  <c r="D28" i="13" s="1"/>
  <c r="P8" i="13"/>
  <c r="D31" i="13" s="1"/>
  <c r="AB7" i="13"/>
  <c r="B37" i="13" s="1"/>
  <c r="T37" i="12"/>
  <c r="T35" i="12"/>
  <c r="T27" i="12"/>
  <c r="T31" i="12"/>
  <c r="J36" i="12"/>
  <c r="H33" i="12"/>
  <c r="H37" i="12"/>
  <c r="L37" i="12"/>
  <c r="L35" i="12"/>
  <c r="L31" i="12"/>
  <c r="L27" i="12"/>
  <c r="J32" i="12"/>
  <c r="D31" i="12"/>
  <c r="D30" i="12"/>
  <c r="D27" i="12"/>
  <c r="D35" i="12"/>
  <c r="B36" i="12"/>
  <c r="B31" i="12"/>
  <c r="B35" i="12"/>
  <c r="B27" i="12"/>
  <c r="X10" i="13"/>
  <c r="H35" i="13" s="1"/>
  <c r="P10" i="13"/>
  <c r="H31" i="13" s="1"/>
  <c r="H10" i="13"/>
  <c r="H27" i="13" s="1"/>
  <c r="Z10" i="13"/>
  <c r="H36" i="13" s="1"/>
  <c r="R10" i="13"/>
  <c r="H32" i="13" s="1"/>
  <c r="J10" i="13"/>
  <c r="H28" i="13" s="1"/>
  <c r="V10" i="13"/>
  <c r="H34" i="13" s="1"/>
  <c r="T10" i="13"/>
  <c r="H33" i="13" s="1"/>
  <c r="N10" i="13"/>
  <c r="H30" i="13" s="1"/>
  <c r="AB10" i="13"/>
  <c r="H37" i="13" s="1"/>
  <c r="L10" i="13"/>
  <c r="H29" i="13" s="1"/>
  <c r="X6" i="13"/>
  <c r="P6" i="13"/>
  <c r="H6" i="13"/>
  <c r="Z6" i="13"/>
  <c r="R6" i="13"/>
  <c r="J6" i="13"/>
  <c r="V6" i="13"/>
  <c r="N6" i="13"/>
  <c r="V7" i="13"/>
  <c r="B34" i="13" s="1"/>
  <c r="N7" i="13"/>
  <c r="B30" i="13" s="1"/>
  <c r="X7" i="13"/>
  <c r="B35" i="13" s="1"/>
  <c r="P7" i="13"/>
  <c r="B31" i="13" s="1"/>
  <c r="H7" i="13"/>
  <c r="B27" i="13" s="1"/>
  <c r="T7" i="13"/>
  <c r="B33" i="13" s="1"/>
  <c r="Z9" i="13"/>
  <c r="F36" i="13" s="1"/>
  <c r="R9" i="13"/>
  <c r="F32" i="13" s="1"/>
  <c r="J9" i="13"/>
  <c r="F28" i="13" s="1"/>
  <c r="AB9" i="13"/>
  <c r="F37" i="13" s="1"/>
  <c r="T9" i="13"/>
  <c r="F33" i="13" s="1"/>
  <c r="L9" i="13"/>
  <c r="F29" i="13" s="1"/>
  <c r="V9" i="13"/>
  <c r="F34" i="13" s="1"/>
  <c r="X16" i="13"/>
  <c r="P35" i="13" s="1"/>
  <c r="P16" i="13"/>
  <c r="P31" i="13" s="1"/>
  <c r="H16" i="13"/>
  <c r="P27" i="13" s="1"/>
  <c r="AB16" i="13"/>
  <c r="P37" i="13" s="1"/>
  <c r="T16" i="13"/>
  <c r="P33" i="13" s="1"/>
  <c r="L16" i="13"/>
  <c r="P29" i="13" s="1"/>
  <c r="Z16" i="13"/>
  <c r="P36" i="13" s="1"/>
  <c r="R16" i="13"/>
  <c r="P32" i="13" s="1"/>
  <c r="J16" i="13"/>
  <c r="P28" i="13" s="1"/>
  <c r="T6" i="13"/>
  <c r="V11" i="13"/>
  <c r="J34" i="13" s="1"/>
  <c r="N11" i="13"/>
  <c r="J30" i="13" s="1"/>
  <c r="X11" i="13"/>
  <c r="J35" i="13" s="1"/>
  <c r="P11" i="13"/>
  <c r="J31" i="13" s="1"/>
  <c r="H11" i="13"/>
  <c r="J27" i="13" s="1"/>
  <c r="T11" i="13"/>
  <c r="J33" i="13" s="1"/>
  <c r="Z15" i="13"/>
  <c r="N36" i="13" s="1"/>
  <c r="R15" i="13"/>
  <c r="N32" i="13" s="1"/>
  <c r="J15" i="13"/>
  <c r="N28" i="13" s="1"/>
  <c r="AB15" i="13"/>
  <c r="N37" i="13" s="1"/>
  <c r="T15" i="13"/>
  <c r="N33" i="13" s="1"/>
  <c r="L15" i="13"/>
  <c r="N29" i="13" s="1"/>
  <c r="V15" i="13"/>
  <c r="N34" i="13" s="1"/>
  <c r="L6" i="13"/>
  <c r="AB6" i="13"/>
  <c r="R7" i="13"/>
  <c r="B32" i="13" s="1"/>
  <c r="P9" i="13"/>
  <c r="F31" i="13" s="1"/>
  <c r="L11" i="13"/>
  <c r="J29" i="13" s="1"/>
  <c r="AB11" i="13"/>
  <c r="J37" i="13" s="1"/>
  <c r="N15" i="13"/>
  <c r="N30" i="13" s="1"/>
  <c r="V17" i="13"/>
  <c r="R34" i="13" s="1"/>
  <c r="N17" i="13"/>
  <c r="R30" i="13" s="1"/>
  <c r="Z17" i="13"/>
  <c r="R36" i="13" s="1"/>
  <c r="R17" i="13"/>
  <c r="R32" i="13" s="1"/>
  <c r="J17" i="13"/>
  <c r="R28" i="13" s="1"/>
  <c r="X17" i="13"/>
  <c r="R35" i="13" s="1"/>
  <c r="P17" i="13"/>
  <c r="R31" i="13" s="1"/>
  <c r="H17" i="13"/>
  <c r="R27" i="13" s="1"/>
  <c r="N8" i="13"/>
  <c r="D30" i="13" s="1"/>
  <c r="V8" i="13"/>
  <c r="D34" i="13" s="1"/>
  <c r="N12" i="13"/>
  <c r="L30" i="13" s="1"/>
  <c r="V12" i="13"/>
  <c r="L34" i="13" s="1"/>
  <c r="N18" i="13"/>
  <c r="T30" i="13" s="1"/>
  <c r="V18" i="13"/>
  <c r="T34" i="13" s="1"/>
  <c r="L8" i="13"/>
  <c r="D29" i="13" s="1"/>
  <c r="T8" i="13"/>
  <c r="D33" i="13" s="1"/>
  <c r="L12" i="13"/>
  <c r="L29" i="13" s="1"/>
  <c r="T12" i="13"/>
  <c r="L33" i="13" s="1"/>
  <c r="L18" i="13"/>
  <c r="T29" i="13" s="1"/>
  <c r="T18" i="13"/>
  <c r="T33" i="13" s="1"/>
  <c r="F36" i="12"/>
  <c r="F32" i="12"/>
  <c r="F28" i="12"/>
  <c r="F35" i="12"/>
  <c r="F31" i="12"/>
  <c r="F27" i="12"/>
  <c r="F37" i="12"/>
  <c r="F29" i="12"/>
  <c r="F34" i="12"/>
  <c r="F33" i="12"/>
  <c r="F30" i="12"/>
  <c r="N36" i="12"/>
  <c r="N32" i="12"/>
  <c r="N28" i="12"/>
  <c r="N35" i="12"/>
  <c r="N31" i="12"/>
  <c r="N27" i="12"/>
  <c r="N37" i="12"/>
  <c r="N33" i="12"/>
  <c r="N29" i="12"/>
  <c r="P29" i="12"/>
  <c r="N30" i="12"/>
  <c r="P33" i="12"/>
  <c r="R32" i="12"/>
  <c r="B34" i="12"/>
  <c r="B30" i="12"/>
  <c r="B33" i="12"/>
  <c r="B37" i="12"/>
  <c r="B29" i="12"/>
  <c r="B32" i="12"/>
  <c r="D37" i="12"/>
  <c r="D33" i="12"/>
  <c r="D29" i="12"/>
  <c r="D36" i="12"/>
  <c r="D32" i="12"/>
  <c r="D28" i="12"/>
  <c r="D34" i="12"/>
  <c r="H35" i="12"/>
  <c r="H31" i="12"/>
  <c r="H27" i="12"/>
  <c r="H34" i="12"/>
  <c r="H30" i="12"/>
  <c r="H36" i="12"/>
  <c r="H32" i="12"/>
  <c r="H28" i="12"/>
  <c r="J34" i="12"/>
  <c r="J30" i="12"/>
  <c r="J37" i="12"/>
  <c r="J33" i="12"/>
  <c r="J29" i="12"/>
  <c r="J35" i="12"/>
  <c r="J31" i="12"/>
  <c r="J27" i="12"/>
  <c r="N34" i="12"/>
  <c r="P35" i="12"/>
  <c r="P31" i="12"/>
  <c r="P27" i="12"/>
  <c r="P34" i="12"/>
  <c r="P30" i="12"/>
  <c r="P36" i="12"/>
  <c r="P32" i="12"/>
  <c r="P28" i="12"/>
  <c r="R34" i="12"/>
  <c r="R30" i="12"/>
  <c r="R37" i="12"/>
  <c r="R33" i="12"/>
  <c r="R29" i="12"/>
  <c r="R35" i="12"/>
  <c r="R31" i="12"/>
  <c r="R27" i="12"/>
  <c r="R28" i="12"/>
  <c r="L30" i="12"/>
  <c r="L34" i="12"/>
  <c r="T30" i="12"/>
  <c r="T34" i="12"/>
  <c r="L28" i="12"/>
  <c r="L32" i="12"/>
  <c r="L36" i="12"/>
  <c r="T28" i="12"/>
  <c r="T32" i="12"/>
  <c r="T36" i="12"/>
  <c r="L29" i="12"/>
  <c r="L33" i="12"/>
  <c r="T29" i="12"/>
  <c r="T33" i="12"/>
  <c r="P27" i="11" l="1"/>
  <c r="P34" i="11"/>
  <c r="P30" i="11"/>
  <c r="P35" i="11"/>
  <c r="P31" i="11"/>
  <c r="P36" i="11"/>
  <c r="P32" i="11"/>
  <c r="P28" i="11"/>
  <c r="P37" i="11"/>
  <c r="P33" i="11"/>
  <c r="P29" i="11"/>
  <c r="J27" i="11"/>
  <c r="J35" i="11"/>
  <c r="J31" i="11"/>
  <c r="J36" i="11"/>
  <c r="J28" i="11"/>
  <c r="J37" i="11"/>
  <c r="J33" i="11"/>
  <c r="J29" i="11"/>
  <c r="J34" i="11"/>
  <c r="J30" i="11"/>
  <c r="J32" i="11"/>
  <c r="R27" i="11"/>
  <c r="R35" i="11"/>
  <c r="R31" i="11"/>
  <c r="R36" i="11"/>
  <c r="R32" i="11"/>
  <c r="R37" i="11"/>
  <c r="R33" i="11"/>
  <c r="R29" i="11"/>
  <c r="R34" i="11"/>
  <c r="R30" i="11"/>
  <c r="R28" i="11"/>
  <c r="F27" i="11"/>
  <c r="F37" i="11"/>
  <c r="F33" i="11"/>
  <c r="F29" i="11"/>
  <c r="F34" i="11"/>
  <c r="F35" i="11"/>
  <c r="F31" i="11"/>
  <c r="F36" i="11"/>
  <c r="F32" i="11"/>
  <c r="F28" i="11"/>
  <c r="F30" i="11"/>
  <c r="N27" i="11"/>
  <c r="N37" i="11"/>
  <c r="N33" i="11"/>
  <c r="N29" i="11"/>
  <c r="N34" i="11"/>
  <c r="N35" i="11"/>
  <c r="N31" i="11"/>
  <c r="N36" i="11"/>
  <c r="N32" i="11"/>
  <c r="N28" i="11"/>
  <c r="N30" i="11"/>
  <c r="H27" i="11"/>
  <c r="H34" i="11"/>
  <c r="H30" i="11"/>
  <c r="H35" i="11"/>
  <c r="H36" i="11"/>
  <c r="H32" i="11"/>
  <c r="H28" i="11"/>
  <c r="H37" i="11"/>
  <c r="H33" i="11"/>
  <c r="H29" i="11"/>
  <c r="H31" i="11"/>
  <c r="B27" i="11"/>
  <c r="B35" i="11"/>
  <c r="B31" i="11"/>
  <c r="B36" i="11"/>
  <c r="B32" i="11"/>
  <c r="B37" i="11"/>
  <c r="B33" i="11"/>
  <c r="B29" i="11"/>
  <c r="B34" i="11"/>
  <c r="B30" i="11"/>
  <c r="B28" i="11"/>
  <c r="D27" i="11"/>
  <c r="D36" i="11"/>
  <c r="D32" i="11"/>
  <c r="D28" i="11"/>
  <c r="D37" i="11"/>
  <c r="D33" i="11"/>
  <c r="D29" i="11"/>
  <c r="D34" i="11"/>
  <c r="D30" i="11"/>
  <c r="D35" i="11"/>
  <c r="D31" i="11"/>
  <c r="L27" i="11"/>
  <c r="L36" i="11"/>
  <c r="L32" i="11"/>
  <c r="L28" i="11"/>
  <c r="L37" i="11"/>
  <c r="L33" i="11"/>
  <c r="L34" i="11"/>
  <c r="L30" i="11"/>
  <c r="L35" i="11"/>
  <c r="L31" i="11"/>
  <c r="L29" i="11"/>
  <c r="T27" i="11"/>
  <c r="T36" i="11"/>
  <c r="T32" i="11"/>
  <c r="T28" i="11"/>
  <c r="T37" i="11"/>
  <c r="T33" i="11"/>
  <c r="T29" i="11"/>
  <c r="T34" i="11"/>
  <c r="T30" i="11"/>
  <c r="T35" i="11"/>
  <c r="T31" i="11"/>
  <c r="T25" i="11" l="1"/>
  <c r="T26" i="11"/>
  <c r="R26" i="11"/>
  <c r="R25" i="11"/>
  <c r="P26" i="11"/>
  <c r="P25" i="11"/>
  <c r="N26" i="11"/>
  <c r="N25" i="11"/>
  <c r="L26" i="11"/>
  <c r="L25" i="11"/>
  <c r="J26" i="11"/>
  <c r="J25" i="11"/>
  <c r="H25" i="11"/>
  <c r="H26" i="11"/>
  <c r="F26" i="11"/>
  <c r="F25" i="11"/>
  <c r="D26" i="11"/>
  <c r="D25" i="11"/>
  <c r="B26" i="11"/>
  <c r="B25" i="11"/>
  <c r="U31" i="15"/>
  <c r="E14" i="15" s="1"/>
  <c r="F14" i="15" s="1"/>
  <c r="N14" i="15" l="1"/>
  <c r="O14" i="15" s="1"/>
  <c r="G14" i="15"/>
  <c r="L14" i="15" s="1"/>
  <c r="M14" i="15" s="1"/>
</calcChain>
</file>

<file path=xl/sharedStrings.xml><?xml version="1.0" encoding="utf-8"?>
<sst xmlns="http://schemas.openxmlformats.org/spreadsheetml/2006/main" count="634" uniqueCount="285">
  <si>
    <t>Group 1</t>
  </si>
  <si>
    <t>Po210</t>
  </si>
  <si>
    <t>Pb210</t>
  </si>
  <si>
    <t>Ra226</t>
  </si>
  <si>
    <t>Ra228</t>
  </si>
  <si>
    <t>Th228</t>
  </si>
  <si>
    <t>Th230</t>
  </si>
  <si>
    <t>Th232</t>
  </si>
  <si>
    <t>Group 2</t>
  </si>
  <si>
    <t>U238</t>
  </si>
  <si>
    <t>U235</t>
  </si>
  <si>
    <t>U234</t>
  </si>
  <si>
    <t>Group 3</t>
  </si>
  <si>
    <t>K40</t>
  </si>
  <si>
    <t>Bq/g</t>
  </si>
  <si>
    <r>
      <t>Cubic feet (assuming 90lbs/ft</t>
    </r>
    <r>
      <rPr>
        <vertAlign val="superscript"/>
        <sz val="11"/>
        <color theme="1"/>
        <rFont val="Calibri"/>
        <family val="2"/>
        <scheme val="minor"/>
      </rPr>
      <t>3</t>
    </r>
    <r>
      <rPr>
        <sz val="11"/>
        <color theme="1"/>
        <rFont val="Calibri"/>
        <family val="2"/>
        <scheme val="minor"/>
      </rPr>
      <t>)</t>
    </r>
  </si>
  <si>
    <t>Pounds</t>
  </si>
  <si>
    <t>Proposed Activity Limit (pCi)</t>
  </si>
  <si>
    <t>Area/Depth Ratio</t>
  </si>
  <si>
    <t>Dose</t>
  </si>
  <si>
    <t>Pb-210, 3 pCi/g</t>
  </si>
  <si>
    <t>Ra-226, 3 pCi/g</t>
  </si>
  <si>
    <t>Ra-228, 3 pCi/g</t>
  </si>
  <si>
    <t>Th-228, 3 pCi/g</t>
  </si>
  <si>
    <t>Small Area, Deep</t>
  </si>
  <si>
    <t>Big Area, Shallow</t>
  </si>
  <si>
    <t>Th-230, 3 pCi/g</t>
  </si>
  <si>
    <t>Th-232, 3 pCi/g</t>
  </si>
  <si>
    <t>U-235, 30 pCi/g</t>
  </si>
  <si>
    <t>U-234, 30 pCi/g</t>
  </si>
  <si>
    <t>U-238, 30 pCi/g</t>
  </si>
  <si>
    <t>Small Area Dose Projections at Lower Bound of Exempt Concentrations</t>
  </si>
  <si>
    <r>
      <t>AREA (m</t>
    </r>
    <r>
      <rPr>
        <vertAlign val="superscript"/>
        <sz val="11"/>
        <color theme="1"/>
        <rFont val="Calibri"/>
        <family val="2"/>
        <scheme val="minor"/>
      </rPr>
      <t>2</t>
    </r>
    <r>
      <rPr>
        <sz val="11"/>
        <color theme="1"/>
        <rFont val="Calibri"/>
        <family val="2"/>
        <scheme val="minor"/>
      </rPr>
      <t>)</t>
    </r>
  </si>
  <si>
    <r>
      <t>Depth (m) of Contaminated zone on 500m</t>
    </r>
    <r>
      <rPr>
        <vertAlign val="superscript"/>
        <sz val="11"/>
        <color theme="1"/>
        <rFont val="Calibri"/>
        <family val="2"/>
        <scheme val="minor"/>
      </rPr>
      <t>2</t>
    </r>
    <r>
      <rPr>
        <sz val="11"/>
        <color theme="1"/>
        <rFont val="Calibri"/>
        <family val="2"/>
        <scheme val="minor"/>
      </rPr>
      <t xml:space="preserve"> Residential Site</t>
    </r>
  </si>
  <si>
    <r>
      <t>Depth (m) of Contaminated zone on 250m</t>
    </r>
    <r>
      <rPr>
        <vertAlign val="superscript"/>
        <sz val="11"/>
        <color theme="1"/>
        <rFont val="Calibri"/>
        <family val="2"/>
        <scheme val="minor"/>
      </rPr>
      <t>2</t>
    </r>
    <r>
      <rPr>
        <sz val="11"/>
        <color theme="1"/>
        <rFont val="Calibri"/>
        <family val="2"/>
        <scheme val="minor"/>
      </rPr>
      <t xml:space="preserve"> Residential Site</t>
    </r>
  </si>
  <si>
    <r>
      <t>Depth (m) of Contaminated zone on 100m</t>
    </r>
    <r>
      <rPr>
        <vertAlign val="superscript"/>
        <sz val="11"/>
        <color theme="1"/>
        <rFont val="Calibri"/>
        <family val="2"/>
        <scheme val="minor"/>
      </rPr>
      <t>2</t>
    </r>
    <r>
      <rPr>
        <sz val="11"/>
        <color theme="1"/>
        <rFont val="Calibri"/>
        <family val="2"/>
        <scheme val="minor"/>
      </rPr>
      <t xml:space="preserve"> Residential Site</t>
    </r>
  </si>
  <si>
    <r>
      <t>Depth (m) of Contaminated zone on 25m</t>
    </r>
    <r>
      <rPr>
        <vertAlign val="superscript"/>
        <sz val="11"/>
        <color theme="1"/>
        <rFont val="Calibri"/>
        <family val="2"/>
        <scheme val="minor"/>
      </rPr>
      <t>2</t>
    </r>
    <r>
      <rPr>
        <sz val="11"/>
        <color theme="1"/>
        <rFont val="Calibri"/>
        <family val="2"/>
        <scheme val="minor"/>
      </rPr>
      <t xml:space="preserve"> Residential Site</t>
    </r>
  </si>
  <si>
    <r>
      <t>Dose (mR/yr) at 500m</t>
    </r>
    <r>
      <rPr>
        <vertAlign val="superscript"/>
        <sz val="11"/>
        <color theme="1"/>
        <rFont val="Calibri"/>
        <family val="2"/>
        <scheme val="minor"/>
      </rPr>
      <t>2</t>
    </r>
  </si>
  <si>
    <r>
      <t>Dose (mR/yr) at 250m</t>
    </r>
    <r>
      <rPr>
        <vertAlign val="superscript"/>
        <sz val="11"/>
        <color theme="1"/>
        <rFont val="Calibri"/>
        <family val="2"/>
        <scheme val="minor"/>
      </rPr>
      <t>2</t>
    </r>
  </si>
  <si>
    <r>
      <t>Dose (mR/yr) at 100m</t>
    </r>
    <r>
      <rPr>
        <vertAlign val="superscript"/>
        <sz val="11"/>
        <color theme="1"/>
        <rFont val="Calibri"/>
        <family val="2"/>
        <scheme val="minor"/>
      </rPr>
      <t>2</t>
    </r>
  </si>
  <si>
    <r>
      <t>Dose (mR/yr) at 25m</t>
    </r>
    <r>
      <rPr>
        <vertAlign val="superscript"/>
        <sz val="11"/>
        <color theme="1"/>
        <rFont val="Calibri"/>
        <family val="2"/>
        <scheme val="minor"/>
      </rPr>
      <t>2</t>
    </r>
  </si>
  <si>
    <r>
      <t>Depth (m) of Contaminated zone on 20m</t>
    </r>
    <r>
      <rPr>
        <vertAlign val="superscript"/>
        <sz val="11"/>
        <color theme="1"/>
        <rFont val="Calibri"/>
        <family val="2"/>
        <scheme val="minor"/>
      </rPr>
      <t>2</t>
    </r>
    <r>
      <rPr>
        <sz val="11"/>
        <color theme="1"/>
        <rFont val="Calibri"/>
        <family val="2"/>
        <scheme val="minor"/>
      </rPr>
      <t xml:space="preserve"> Residential Site</t>
    </r>
  </si>
  <si>
    <r>
      <t>Dose (mR/yr) at 20m</t>
    </r>
    <r>
      <rPr>
        <vertAlign val="superscript"/>
        <sz val="11"/>
        <color theme="1"/>
        <rFont val="Calibri"/>
        <family val="2"/>
        <scheme val="minor"/>
      </rPr>
      <t>2</t>
    </r>
  </si>
  <si>
    <r>
      <t>Depth (m) of Contaminated zone on 10m</t>
    </r>
    <r>
      <rPr>
        <vertAlign val="superscript"/>
        <sz val="11"/>
        <color theme="1"/>
        <rFont val="Calibri"/>
        <family val="2"/>
        <scheme val="minor"/>
      </rPr>
      <t>2</t>
    </r>
    <r>
      <rPr>
        <sz val="11"/>
        <color theme="1"/>
        <rFont val="Calibri"/>
        <family val="2"/>
        <scheme val="minor"/>
      </rPr>
      <t xml:space="preserve"> Residential Site</t>
    </r>
  </si>
  <si>
    <r>
      <t>Dose (mR/yr) at 10m</t>
    </r>
    <r>
      <rPr>
        <vertAlign val="superscript"/>
        <sz val="11"/>
        <color theme="1"/>
        <rFont val="Calibri"/>
        <family val="2"/>
        <scheme val="minor"/>
      </rPr>
      <t>2</t>
    </r>
  </si>
  <si>
    <r>
      <t>Depth (m) of Contaminated zone on 5m</t>
    </r>
    <r>
      <rPr>
        <vertAlign val="superscript"/>
        <sz val="11"/>
        <color theme="1"/>
        <rFont val="Calibri"/>
        <family val="2"/>
        <scheme val="minor"/>
      </rPr>
      <t>2</t>
    </r>
    <r>
      <rPr>
        <sz val="11"/>
        <color theme="1"/>
        <rFont val="Calibri"/>
        <family val="2"/>
        <scheme val="minor"/>
      </rPr>
      <t xml:space="preserve"> Residential Site</t>
    </r>
  </si>
  <si>
    <r>
      <t>Dose (mR/yr) at 5m</t>
    </r>
    <r>
      <rPr>
        <vertAlign val="superscript"/>
        <sz val="11"/>
        <color theme="1"/>
        <rFont val="Calibri"/>
        <family val="2"/>
        <scheme val="minor"/>
      </rPr>
      <t>2</t>
    </r>
  </si>
  <si>
    <r>
      <t>Depth (m) of Contaminated zone on 1m</t>
    </r>
    <r>
      <rPr>
        <vertAlign val="superscript"/>
        <sz val="11"/>
        <color theme="1"/>
        <rFont val="Calibri"/>
        <family val="2"/>
        <scheme val="minor"/>
      </rPr>
      <t>2</t>
    </r>
    <r>
      <rPr>
        <sz val="11"/>
        <color theme="1"/>
        <rFont val="Calibri"/>
        <family val="2"/>
        <scheme val="minor"/>
      </rPr>
      <t xml:space="preserve"> Residential Site</t>
    </r>
  </si>
  <si>
    <r>
      <t>Dose (mR/yr) at 1m</t>
    </r>
    <r>
      <rPr>
        <vertAlign val="superscript"/>
        <sz val="11"/>
        <color theme="1"/>
        <rFont val="Calibri"/>
        <family val="2"/>
        <scheme val="minor"/>
      </rPr>
      <t>2</t>
    </r>
  </si>
  <si>
    <r>
      <t>Depth (m) of Contaminated zone on 0.1m</t>
    </r>
    <r>
      <rPr>
        <vertAlign val="superscript"/>
        <sz val="11"/>
        <color theme="1"/>
        <rFont val="Calibri"/>
        <family val="2"/>
        <scheme val="minor"/>
      </rPr>
      <t>2</t>
    </r>
    <r>
      <rPr>
        <sz val="11"/>
        <color theme="1"/>
        <rFont val="Calibri"/>
        <family val="2"/>
        <scheme val="minor"/>
      </rPr>
      <t xml:space="preserve"> Residential Site</t>
    </r>
  </si>
  <si>
    <r>
      <t>Dose (mR/yr) at 0.1m</t>
    </r>
    <r>
      <rPr>
        <vertAlign val="superscript"/>
        <sz val="11"/>
        <color theme="1"/>
        <rFont val="Calibri"/>
        <family val="2"/>
        <scheme val="minor"/>
      </rPr>
      <t>2</t>
    </r>
  </si>
  <si>
    <r>
      <t>Depth (m) of Contaminated zone on 0.01m</t>
    </r>
    <r>
      <rPr>
        <vertAlign val="superscript"/>
        <sz val="11"/>
        <color theme="1"/>
        <rFont val="Calibri"/>
        <family val="2"/>
        <scheme val="minor"/>
      </rPr>
      <t>2</t>
    </r>
    <r>
      <rPr>
        <sz val="11"/>
        <color theme="1"/>
        <rFont val="Calibri"/>
        <family val="2"/>
        <scheme val="minor"/>
      </rPr>
      <t xml:space="preserve"> Residential Site</t>
    </r>
  </si>
  <si>
    <r>
      <t>Dose (mR/yr) at 0.01m</t>
    </r>
    <r>
      <rPr>
        <vertAlign val="superscript"/>
        <sz val="11"/>
        <color theme="1"/>
        <rFont val="Calibri"/>
        <family val="2"/>
        <scheme val="minor"/>
      </rPr>
      <t>2</t>
    </r>
  </si>
  <si>
    <r>
      <t>Depth (m) of Contaminated zone on 0.001m</t>
    </r>
    <r>
      <rPr>
        <vertAlign val="superscript"/>
        <sz val="11"/>
        <color theme="1"/>
        <rFont val="Calibri"/>
        <family val="2"/>
        <scheme val="minor"/>
      </rPr>
      <t>2</t>
    </r>
    <r>
      <rPr>
        <sz val="11"/>
        <color theme="1"/>
        <rFont val="Calibri"/>
        <family val="2"/>
        <scheme val="minor"/>
      </rPr>
      <t xml:space="preserve"> Residential Site</t>
    </r>
  </si>
  <si>
    <r>
      <t>Dose (mR/yr) at 0.001m</t>
    </r>
    <r>
      <rPr>
        <vertAlign val="superscript"/>
        <sz val="11"/>
        <color theme="1"/>
        <rFont val="Calibri"/>
        <family val="2"/>
        <scheme val="minor"/>
      </rPr>
      <t>2</t>
    </r>
  </si>
  <si>
    <t>* ResRad limits the upper bound of depth to 1000m.  Where the projected depth exceeds this value, 1000m is used.</t>
  </si>
  <si>
    <t>Small Area Dose Projections at Upper Bound of Exempt Concentrations</t>
  </si>
  <si>
    <t>Small Area Dose Projections at Mid Range of Exempt Concentrations</t>
  </si>
  <si>
    <t>* ResRad limits the lower bound of depth to 0.00001m.  Where the projected depth is lower than this value, 0.00001m is used.</t>
  </si>
  <si>
    <r>
      <t>Depth (m) of Contaminated zone on 1.0E-4m</t>
    </r>
    <r>
      <rPr>
        <vertAlign val="superscript"/>
        <sz val="11"/>
        <color theme="1"/>
        <rFont val="Calibri"/>
        <family val="2"/>
        <scheme val="minor"/>
      </rPr>
      <t>2</t>
    </r>
    <r>
      <rPr>
        <sz val="11"/>
        <color theme="1"/>
        <rFont val="Calibri"/>
        <family val="2"/>
        <scheme val="minor"/>
      </rPr>
      <t xml:space="preserve"> Residential Site</t>
    </r>
  </si>
  <si>
    <r>
      <t>Dose (mR/yr) at 1.0E-4m</t>
    </r>
    <r>
      <rPr>
        <vertAlign val="superscript"/>
        <sz val="11"/>
        <color theme="1"/>
        <rFont val="Calibri"/>
        <family val="2"/>
        <scheme val="minor"/>
      </rPr>
      <t>2</t>
    </r>
  </si>
  <si>
    <t>Pb-210, 16.5 pCi/g</t>
  </si>
  <si>
    <t>Ra-226, 16.5 pCi/g</t>
  </si>
  <si>
    <t>Ra-228, 16.5 pCi/g</t>
  </si>
  <si>
    <t>Th-228, 16.5 pCi/g</t>
  </si>
  <si>
    <t>Th-230, 16.5 pCi/g</t>
  </si>
  <si>
    <t>Th-232, 4.8 pCi/g</t>
  </si>
  <si>
    <t>U-238, 97.5 pCi/g</t>
  </si>
  <si>
    <t>U-235, 147.5 pCi/g</t>
  </si>
  <si>
    <t>U-234, 147.5 pCi/g</t>
  </si>
  <si>
    <t>Pb-210, 30 pCi/g</t>
  </si>
  <si>
    <t>Ra-226, 30 pCi/g</t>
  </si>
  <si>
    <t>Ra-228, 30 pCi/g</t>
  </si>
  <si>
    <t>Th-228, 30 pCi/g</t>
  </si>
  <si>
    <t>Th-230, 30 pCi/g</t>
  </si>
  <si>
    <t>Th-232, 6.6 pCi/g</t>
  </si>
  <si>
    <t>U-238, 165 pCi/g</t>
  </si>
  <si>
    <t>U-235, 265 pCi/g</t>
  </si>
  <si>
    <t>U-234, 265 pCi/g</t>
  </si>
  <si>
    <r>
      <rPr>
        <b/>
        <sz val="11"/>
        <color theme="1"/>
        <rFont val="Calibri"/>
        <family val="2"/>
        <scheme val="minor"/>
      </rPr>
      <t>Pb-210</t>
    </r>
    <r>
      <rPr>
        <sz val="11"/>
        <color theme="1"/>
        <rFont val="Calibri"/>
        <family val="2"/>
        <scheme val="minor"/>
      </rPr>
      <t xml:space="preserve">   </t>
    </r>
    <r>
      <rPr>
        <i/>
        <sz val="11"/>
        <color theme="1"/>
        <rFont val="Calibri"/>
        <family val="2"/>
        <scheme val="minor"/>
      </rPr>
      <t>(Pb-210, Bi-210, Po-210)</t>
    </r>
  </si>
  <si>
    <r>
      <rPr>
        <b/>
        <sz val="11"/>
        <color theme="1"/>
        <rFont val="Calibri"/>
        <family val="2"/>
        <scheme val="minor"/>
      </rPr>
      <t>Ra-226</t>
    </r>
    <r>
      <rPr>
        <sz val="11"/>
        <color theme="1"/>
        <rFont val="Calibri"/>
        <family val="2"/>
        <scheme val="minor"/>
      </rPr>
      <t xml:space="preserve"> </t>
    </r>
    <r>
      <rPr>
        <i/>
        <sz val="11"/>
        <color theme="1"/>
        <rFont val="Calibri"/>
        <family val="2"/>
        <scheme val="minor"/>
      </rPr>
      <t xml:space="preserve">  (Ra-226 Rn-222, Po-218, Pb-214, Bi-214, Po-214, Pb-210, Bi-210, Po-210)</t>
    </r>
  </si>
  <si>
    <r>
      <rPr>
        <b/>
        <sz val="11"/>
        <color theme="1"/>
        <rFont val="Calibri"/>
        <family val="2"/>
        <scheme val="minor"/>
      </rPr>
      <t>Ra-228</t>
    </r>
    <r>
      <rPr>
        <sz val="11"/>
        <color theme="1"/>
        <rFont val="Calibri"/>
        <family val="2"/>
        <scheme val="minor"/>
      </rPr>
      <t xml:space="preserve">  </t>
    </r>
    <r>
      <rPr>
        <i/>
        <sz val="11"/>
        <color theme="1"/>
        <rFont val="Calibri"/>
        <family val="2"/>
        <scheme val="minor"/>
      </rPr>
      <t>(Ra-228, Ac-228)</t>
    </r>
  </si>
  <si>
    <t>Th-Nat</t>
  </si>
  <si>
    <t>K-40</t>
  </si>
  <si>
    <t>All concentration values are "above background"</t>
  </si>
  <si>
    <r>
      <t xml:space="preserve">This workbook provides the resulting dose to a member of the public from free release of material at the lowest value </t>
    </r>
    <r>
      <rPr>
        <i/>
        <sz val="11"/>
        <color theme="1"/>
        <rFont val="Calibri"/>
        <family val="2"/>
        <scheme val="minor"/>
      </rPr>
      <t xml:space="preserve">(column B) </t>
    </r>
    <r>
      <rPr>
        <sz val="11"/>
        <color theme="1"/>
        <rFont val="Calibri"/>
        <family val="2"/>
        <scheme val="minor"/>
      </rPr>
      <t>of the concentration range.</t>
    </r>
  </si>
  <si>
    <t>Concentration (pCi/g)</t>
  </si>
  <si>
    <t>Proposed Cumulative Activity (microcuries)</t>
  </si>
  <si>
    <t>For example, a material containing Ra-226 would be exempt (in any quantity) when it contains less than 3 pCi/g above background.  Once it contains 3 pCi/g above background, the quantity that would remain exempt is that which gives rise to 7.5 microcuries.</t>
  </si>
  <si>
    <t>The numbers below provide estimations of when both the concentration and quantity of material should be under additional regulatory scrutiny due to the fact they can create exposures to the public exceeding 25 mrem per year.</t>
  </si>
  <si>
    <t>At a Ra-226 concentration of 3 pCi/g + BKG, this corresponds to about 3.7 tons of waste.  As the concentation of Ra-226 increases, the amount of TENORM giving rise to 7.5 microcuries (not counting the activity contribution from background) decreases.</t>
  </si>
  <si>
    <t>Therefore, at a Ra-226 concentration of 5 pCi/g (above background), the exempt quantity decreases to just over 2 tons.</t>
  </si>
  <si>
    <t>At the upper bound of the exempt concentration (30 pCi/g above background), the amount of TENORM waste that would remain exempt is reduced to 735 lbs.</t>
  </si>
  <si>
    <t>RESRAD Model Inputs:</t>
  </si>
  <si>
    <r>
      <rPr>
        <b/>
        <sz val="11"/>
        <color theme="1"/>
        <rFont val="Calibri"/>
        <family val="2"/>
        <scheme val="minor"/>
      </rPr>
      <t xml:space="preserve">Time of each run: </t>
    </r>
    <r>
      <rPr>
        <sz val="11"/>
        <color theme="1"/>
        <rFont val="Calibri"/>
        <family val="2"/>
        <scheme val="minor"/>
      </rPr>
      <t xml:space="preserve"> </t>
    </r>
    <r>
      <rPr>
        <i/>
        <sz val="11"/>
        <color theme="1"/>
        <rFont val="Calibri"/>
        <family val="2"/>
        <scheme val="minor"/>
      </rPr>
      <t>5000 years.</t>
    </r>
  </si>
  <si>
    <t>In an effort to assess dose, it was then assumed that the complete exempt volume was spread the available property.  Property sizes and pathways for the future resident and subsistence farmer are listed in footnotes 3 and 4, respectively.</t>
  </si>
  <si>
    <t>Depth (m) of Contaminated zone on 20,000m^2 Resident Farmer Site</t>
  </si>
  <si>
    <t>Depth (m) of Contaminated zone on 1000m^2 Residential Site</t>
  </si>
  <si>
    <r>
      <t xml:space="preserve">Pounds </t>
    </r>
    <r>
      <rPr>
        <b/>
        <vertAlign val="superscript"/>
        <sz val="11"/>
        <color rgb="FFFF0000"/>
        <rFont val="Calibri"/>
        <family val="2"/>
        <scheme val="minor"/>
      </rPr>
      <t>1</t>
    </r>
  </si>
  <si>
    <r>
      <t xml:space="preserve">Max Dose(T)  for Future Resident </t>
    </r>
    <r>
      <rPr>
        <b/>
        <vertAlign val="superscript"/>
        <sz val="11"/>
        <color rgb="FFFF0000"/>
        <rFont val="Calibri"/>
        <family val="2"/>
        <scheme val="minor"/>
      </rPr>
      <t>3</t>
    </r>
    <r>
      <rPr>
        <sz val="11"/>
        <color theme="1"/>
        <rFont val="Calibri"/>
        <family val="2"/>
        <scheme val="minor"/>
      </rPr>
      <t xml:space="preserve"> (mrem/year)</t>
    </r>
  </si>
  <si>
    <r>
      <t>Cubic feet (assuming 90lbs/ft3)</t>
    </r>
    <r>
      <rPr>
        <b/>
        <sz val="11"/>
        <color rgb="FFFF0000"/>
        <rFont val="Calibri"/>
        <family val="2"/>
        <scheme val="minor"/>
      </rPr>
      <t xml:space="preserve"> </t>
    </r>
    <r>
      <rPr>
        <b/>
        <vertAlign val="superscript"/>
        <sz val="11"/>
        <color rgb="FFFF0000"/>
        <rFont val="Calibri"/>
        <family val="2"/>
        <scheme val="minor"/>
      </rPr>
      <t>2</t>
    </r>
  </si>
  <si>
    <r>
      <t xml:space="preserve">Max Dose(T) for Subsistence Farmer </t>
    </r>
    <r>
      <rPr>
        <b/>
        <vertAlign val="superscript"/>
        <sz val="11"/>
        <color rgb="FFFF0000"/>
        <rFont val="Calibri"/>
        <family val="2"/>
        <scheme val="minor"/>
      </rPr>
      <t>4</t>
    </r>
    <r>
      <rPr>
        <sz val="11"/>
        <color theme="1"/>
        <rFont val="Calibri"/>
        <family val="2"/>
        <scheme val="minor"/>
      </rPr>
      <t xml:space="preserve"> (mrem/year)</t>
    </r>
  </si>
  <si>
    <r>
      <t>T</t>
    </r>
    <r>
      <rPr>
        <vertAlign val="subscript"/>
        <sz val="11"/>
        <color theme="1"/>
        <rFont val="Calibri"/>
        <family val="2"/>
        <scheme val="minor"/>
      </rPr>
      <t xml:space="preserve">max </t>
    </r>
    <r>
      <rPr>
        <sz val="11"/>
        <color theme="1"/>
        <rFont val="Calibri"/>
        <family val="2"/>
        <scheme val="minor"/>
      </rPr>
      <t>for Future Resident Scenario (years)</t>
    </r>
  </si>
  <si>
    <r>
      <t>T</t>
    </r>
    <r>
      <rPr>
        <vertAlign val="subscript"/>
        <sz val="11"/>
        <color theme="1"/>
        <rFont val="Calibri"/>
        <family val="2"/>
        <scheme val="minor"/>
      </rPr>
      <t>max</t>
    </r>
    <r>
      <rPr>
        <sz val="11"/>
        <color theme="1"/>
        <rFont val="Calibri"/>
        <family val="2"/>
        <scheme val="minor"/>
      </rPr>
      <t xml:space="preserve"> for Subsistence Farmer Scenario (years)</t>
    </r>
  </si>
  <si>
    <r>
      <rPr>
        <b/>
        <sz val="11"/>
        <color rgb="FFFF0000"/>
        <rFont val="Calibri"/>
        <family val="2"/>
        <scheme val="minor"/>
      </rPr>
      <t>4</t>
    </r>
    <r>
      <rPr>
        <sz val="11"/>
        <color theme="1"/>
        <rFont val="Calibri"/>
        <family val="2"/>
        <scheme val="minor"/>
      </rPr>
      <t xml:space="preserve">  Future Subsistence Farmer - all pathways.  Derives food, water from site.  Uses 20,000 m2 as the area and assumes the exempt volume is distributed across the surface.</t>
    </r>
  </si>
  <si>
    <r>
      <rPr>
        <b/>
        <sz val="11"/>
        <color rgb="FFFF0000"/>
        <rFont val="Calibri"/>
        <family val="2"/>
        <scheme val="minor"/>
      </rPr>
      <t>3</t>
    </r>
    <r>
      <rPr>
        <sz val="11"/>
        <color theme="1"/>
        <rFont val="Calibri"/>
        <family val="2"/>
        <scheme val="minor"/>
      </rPr>
      <t xml:space="preserve">  Future Resident scenario: all pathways on except aquatic and meat.  Utilizes 1000m^2 as the average site of a building lot.  Assumes the contaminated exempt volume/concentration covers the surface of the site.</t>
    </r>
  </si>
  <si>
    <r>
      <rPr>
        <b/>
        <sz val="11"/>
        <color rgb="FFFF0000"/>
        <rFont val="Calibri"/>
        <family val="2"/>
        <scheme val="minor"/>
      </rPr>
      <t>2</t>
    </r>
    <r>
      <rPr>
        <sz val="11"/>
        <color theme="1"/>
        <rFont val="Calibri"/>
        <family val="2"/>
        <scheme val="minor"/>
      </rPr>
      <t xml:space="preserve">  The calculations estimate volume of waste based upon a soil with a density of ninety pounds per cubic foot.  Actual density of any waste should be utilized. </t>
    </r>
  </si>
  <si>
    <r>
      <rPr>
        <b/>
        <sz val="11"/>
        <color rgb="FFFF0000"/>
        <rFont val="Calibri"/>
        <family val="2"/>
        <scheme val="minor"/>
      </rPr>
      <t>1</t>
    </r>
    <r>
      <rPr>
        <sz val="11"/>
        <color theme="1"/>
        <rFont val="Calibri"/>
        <family val="2"/>
        <scheme val="minor"/>
      </rPr>
      <t xml:space="preserve">  The calculations utilized to display an exempt weight do not show contribution from background.  I.e., if background contains 2 pCi/g of radium-226, then the true activity of the waste is 5 pCi/g.  The cumulative activity afforded, does not include the contribution from background which would need to be added to the proposed limit if added to the concentration limit.  Due to the fact the contribution from background cancels itself out in both the dividend and divisor - it is omitted from the formula here.</t>
    </r>
  </si>
  <si>
    <t>Minimum thickness allowed for contaminated layer in RESRAD is 0.00001 meters.  Where the projected contaminated layer is thinner than this value, .00001 meters is used.</t>
  </si>
  <si>
    <r>
      <t xml:space="preserve">Due to very shallow depths of source term (&lt; 0.00001 meters), </t>
    </r>
    <r>
      <rPr>
        <b/>
        <sz val="11"/>
        <color theme="1"/>
        <rFont val="Calibri"/>
        <family val="2"/>
        <scheme val="minor"/>
      </rPr>
      <t>erosion rate</t>
    </r>
    <r>
      <rPr>
        <sz val="11"/>
        <color theme="1"/>
        <rFont val="Calibri"/>
        <family val="2"/>
        <scheme val="minor"/>
      </rPr>
      <t xml:space="preserve"> in RESRAD was set to zero.  Failing to do so would result in the source term being lost to the wind and no longer contributing dose to the occupant.</t>
    </r>
  </si>
  <si>
    <r>
      <rPr>
        <b/>
        <sz val="11"/>
        <rFont val="Calibri"/>
        <family val="2"/>
        <scheme val="minor"/>
      </rPr>
      <t xml:space="preserve">Radon pathway </t>
    </r>
    <r>
      <rPr>
        <sz val="11"/>
        <rFont val="Calibri"/>
        <family val="2"/>
        <scheme val="minor"/>
      </rPr>
      <t>is left</t>
    </r>
    <r>
      <rPr>
        <sz val="11"/>
        <color theme="1"/>
        <rFont val="Calibri"/>
        <family val="2"/>
        <scheme val="minor"/>
      </rPr>
      <t xml:space="preserve"> ON. </t>
    </r>
    <r>
      <rPr>
        <b/>
        <sz val="11"/>
        <color theme="1"/>
        <rFont val="Calibri"/>
        <family val="2"/>
        <scheme val="minor"/>
      </rPr>
      <t xml:space="preserve"> </t>
    </r>
    <r>
      <rPr>
        <i/>
        <sz val="11"/>
        <color theme="1"/>
        <rFont val="Calibri"/>
        <family val="2"/>
        <scheme val="minor"/>
      </rPr>
      <t>Note that while this was done as a level of conservation, even natural concentrations of radium in soil can give rise to levels of indoor radon requiring mitigation.  Compliance with these release levels does not ensure a future residence with low indoor radon levels.</t>
    </r>
  </si>
  <si>
    <r>
      <rPr>
        <b/>
        <sz val="11"/>
        <color theme="1"/>
        <rFont val="Calibri"/>
        <family val="2"/>
        <scheme val="minor"/>
      </rPr>
      <t>U-Nat</t>
    </r>
    <r>
      <rPr>
        <sz val="11"/>
        <color theme="1"/>
        <rFont val="Calibri"/>
        <family val="2"/>
        <scheme val="minor"/>
      </rPr>
      <t>:  48.9% of activity is U-234 (U-234, Th-230, Ra-226, Rn-222, Po-218, Pb-214, Bi-214, Po-214, Pb-210, Bi-210, Po-210); 48.9% of activity is U-238 (U-238, Th-234, Pa-234m); and 2.2% of activity from U-235 (U-235, Th-231, Pa-231, Ac-227, Ra-223, Rn-219, Po-215, Pb-211, Bi-211, Tl-207)</t>
    </r>
  </si>
  <si>
    <t>In the CEDE calculations, the concentration is the limiting factor as reference man intake amounts limit the consignment ingested/inhaled and are far lower than the proposed exempt quantities</t>
  </si>
  <si>
    <r>
      <rPr>
        <b/>
        <sz val="11"/>
        <color theme="1"/>
        <rFont val="Calibri"/>
        <family val="2"/>
        <scheme val="minor"/>
      </rPr>
      <t>U-Nat</t>
    </r>
    <r>
      <rPr>
        <sz val="11"/>
        <color theme="1"/>
        <rFont val="Calibri"/>
        <family val="2"/>
        <scheme val="minor"/>
      </rPr>
      <t xml:space="preserve"> modified from the US DOT equilibrium chain to include the activity contribution of 48.9% U-234, 48.9% U-238, and 2.2% U-235</t>
    </r>
  </si>
  <si>
    <t>U-Nat</t>
  </si>
  <si>
    <t>Source term distribution @ Lower Bound of Exempt Concentrations</t>
  </si>
  <si>
    <t>Source term distribution @ Mid Range of Exempt Concentrations</t>
  </si>
  <si>
    <t>Source term distribution @ Upper Bound of Exempt Concentrations</t>
  </si>
  <si>
    <t>K-40, 2700 pCi/g</t>
  </si>
  <si>
    <t>K-40, 1365 pCi/g</t>
  </si>
  <si>
    <t>K-40, 30 pCi/g</t>
  </si>
  <si>
    <t>U-Nat, 30 pCi/g</t>
  </si>
  <si>
    <t>Th-Nat, 3 pCi/g</t>
  </si>
  <si>
    <t>10 CFR Part 20 and FGR 11 Ingestion ALI (uCis)</t>
  </si>
  <si>
    <t>Grams of TENORM to ingest to reach ALI</t>
  </si>
  <si>
    <t>Proposed Activity Limit (uCis)</t>
  </si>
  <si>
    <t>% of ALI Afforded to Possession</t>
  </si>
  <si>
    <t>Max Proposed grams</t>
  </si>
  <si>
    <t>Proposed Source Term Limiting to the ALI?</t>
  </si>
  <si>
    <t xml:space="preserve">CEDE Dose Rate for Ingestion (mR/yr) </t>
  </si>
  <si>
    <t>Ingestion Analysis</t>
  </si>
  <si>
    <t>10 CFR Part 20 and FGR 11 Inhalation ALI (uCis)</t>
  </si>
  <si>
    <t>Inhalation Analysis</t>
  </si>
  <si>
    <r>
      <rPr>
        <vertAlign val="superscript"/>
        <sz val="11"/>
        <color theme="1"/>
        <rFont val="Calibri"/>
        <family val="2"/>
        <scheme val="minor"/>
      </rPr>
      <t>3</t>
    </r>
    <r>
      <rPr>
        <sz val="11"/>
        <color theme="1"/>
        <rFont val="Calibri"/>
        <family val="2"/>
        <scheme val="minor"/>
      </rPr>
      <t xml:space="preserve">  Using the following variables:  8400 cubic meters inhaled per year, average mass loading of 2.0E-4 grams per cubic meter, and a Occupancy Filtration Factor of 0.45: results in 0.756 grams per year inhaled.</t>
    </r>
  </si>
  <si>
    <t>(2.0E-4 g/m3)x25% outside occupancy + ((2.0E-4 g/m3)x40% indoor dust concentration x 50% indoor occupancy) + (0 g/m3 x 25% offsite occupancy)</t>
  </si>
  <si>
    <t>This assumes only contaminated dust comprises the ambient respirable particles and there is no time spent away from the site.  Indoor occupancy is set to 50% and the dust concentration indoors is 40% of that outdoors.</t>
  </si>
  <si>
    <t xml:space="preserve">obtained from section 5.6.1 of  </t>
  </si>
  <si>
    <t>Variables obtained from Argonne National Laboratory:   -  http://web.ead.anl.gov/resrad/datacoll/ingest.htm</t>
  </si>
  <si>
    <r>
      <rPr>
        <vertAlign val="superscript"/>
        <sz val="11"/>
        <color theme="1"/>
        <rFont val="Calibri"/>
        <family val="2"/>
        <scheme val="minor"/>
      </rPr>
      <t xml:space="preserve">4 </t>
    </r>
    <r>
      <rPr>
        <sz val="11"/>
        <color theme="1"/>
        <rFont val="Calibri"/>
        <family val="2"/>
        <scheme val="minor"/>
      </rPr>
      <t xml:space="preserve"> This factor is the ratio of airborne dust concentration indoors on-site to the concentration outdoors on-site. It is based on the fact that a building provides shielding against entry of windblown
dust particles. Therefore, calculation of the effective dose from the dust inhalation pathway should take into account this dust filtration effect. The filtration factor value is used in
calculating the occupancy factor. For example, based on the assumption that 50% of the time is spent indoors with filtration factor of 0.4, 25% is spent outdoors in the contaminated area, and
25% is spent in uncontaminated areas, the occupancy factor for inhalation pathway dose calculations would be as follows:  0.5x0.4 + 0.25x1+ 0.25x0 = 0.45</t>
    </r>
  </si>
  <si>
    <t>The most limiting values of ALIs were utilized for dose calculations. Although target organs were identified for some TENORM radionuclides,</t>
  </si>
  <si>
    <t>the limiting ALI was always associated with the CEDE (whole body) dose.  The differences in uranium solubility generated the largest differences</t>
  </si>
  <si>
    <t>in ALI values and the most restrictive utilized (Y).</t>
  </si>
  <si>
    <t>Proposed Max Activity Concentration LImit (pCi/g)</t>
  </si>
  <si>
    <t>Radionuclide and/or Chain</t>
  </si>
  <si>
    <t>Po-210</t>
  </si>
  <si>
    <t>Pb-210</t>
  </si>
  <si>
    <t>Bi-210</t>
  </si>
  <si>
    <t>Bi-214</t>
  </si>
  <si>
    <t>Pb-214</t>
  </si>
  <si>
    <t>Ra-226</t>
  </si>
  <si>
    <t>Nuclide</t>
  </si>
  <si>
    <t>10 CFR Part 20 ALI (uCis)</t>
  </si>
  <si>
    <r>
      <rPr>
        <b/>
        <sz val="11"/>
        <color theme="1"/>
        <rFont val="Calibri"/>
        <family val="2"/>
        <scheme val="minor"/>
      </rPr>
      <t>Ra-228:</t>
    </r>
    <r>
      <rPr>
        <sz val="11"/>
        <color theme="1"/>
        <rFont val="Calibri"/>
        <family val="2"/>
        <scheme val="minor"/>
      </rPr>
      <t xml:space="preserve"> (C</t>
    </r>
    <r>
      <rPr>
        <vertAlign val="subscript"/>
        <sz val="11"/>
        <color theme="1"/>
        <rFont val="Calibri"/>
        <family val="2"/>
        <scheme val="minor"/>
      </rPr>
      <t>Ra-228</t>
    </r>
    <r>
      <rPr>
        <sz val="11"/>
        <color theme="1"/>
        <rFont val="Calibri"/>
        <family val="2"/>
        <scheme val="minor"/>
      </rPr>
      <t>/2 + C</t>
    </r>
    <r>
      <rPr>
        <vertAlign val="subscript"/>
        <sz val="11"/>
        <color theme="1"/>
        <rFont val="Calibri"/>
        <family val="2"/>
        <scheme val="minor"/>
      </rPr>
      <t>Ac-228</t>
    </r>
    <r>
      <rPr>
        <sz val="11"/>
        <color theme="1"/>
        <rFont val="Calibri"/>
        <family val="2"/>
        <scheme val="minor"/>
      </rPr>
      <t>/2E3) = 1</t>
    </r>
  </si>
  <si>
    <t>Th-230</t>
  </si>
  <si>
    <t>U-234</t>
  </si>
  <si>
    <t>Th-234</t>
  </si>
  <si>
    <t>U-238</t>
  </si>
  <si>
    <t>Th-228</t>
  </si>
  <si>
    <t>Pa-234</t>
  </si>
  <si>
    <r>
      <rPr>
        <b/>
        <sz val="11"/>
        <color theme="1"/>
        <rFont val="Calibri"/>
        <family val="2"/>
        <scheme val="minor"/>
      </rPr>
      <t>Pb-210</t>
    </r>
    <r>
      <rPr>
        <sz val="11"/>
        <color theme="1"/>
        <rFont val="Calibri"/>
        <family val="2"/>
        <scheme val="minor"/>
      </rPr>
      <t>:  (C</t>
    </r>
    <r>
      <rPr>
        <vertAlign val="subscript"/>
        <sz val="11"/>
        <color theme="1"/>
        <rFont val="Calibri"/>
        <family val="2"/>
        <scheme val="minor"/>
      </rPr>
      <t>Pb-210</t>
    </r>
    <r>
      <rPr>
        <sz val="11"/>
        <color theme="1"/>
        <rFont val="Calibri"/>
        <family val="2"/>
        <scheme val="minor"/>
      </rPr>
      <t>/0.6 + C</t>
    </r>
    <r>
      <rPr>
        <vertAlign val="subscript"/>
        <sz val="11"/>
        <color theme="1"/>
        <rFont val="Calibri"/>
        <family val="2"/>
        <scheme val="minor"/>
      </rPr>
      <t>Bi-210</t>
    </r>
    <r>
      <rPr>
        <sz val="11"/>
        <color theme="1"/>
        <rFont val="Calibri"/>
        <family val="2"/>
        <scheme val="minor"/>
      </rPr>
      <t>/800 + C</t>
    </r>
    <r>
      <rPr>
        <vertAlign val="subscript"/>
        <sz val="11"/>
        <color theme="1"/>
        <rFont val="Calibri"/>
        <family val="2"/>
        <scheme val="minor"/>
      </rPr>
      <t>Po-210</t>
    </r>
    <r>
      <rPr>
        <sz val="11"/>
        <color theme="1"/>
        <rFont val="Calibri"/>
        <family val="2"/>
        <scheme val="minor"/>
      </rPr>
      <t>/3) = 1</t>
    </r>
  </si>
  <si>
    <t>Derivation of ALIs using Sum of Ratios</t>
  </si>
  <si>
    <r>
      <rPr>
        <b/>
        <sz val="11"/>
        <color theme="1"/>
        <rFont val="Calibri"/>
        <family val="2"/>
        <scheme val="minor"/>
      </rPr>
      <t>U-238</t>
    </r>
    <r>
      <rPr>
        <sz val="11"/>
        <color theme="1"/>
        <rFont val="Calibri"/>
        <family val="2"/>
        <scheme val="minor"/>
      </rPr>
      <t>: (C</t>
    </r>
    <r>
      <rPr>
        <vertAlign val="subscript"/>
        <sz val="11"/>
        <color theme="1"/>
        <rFont val="Calibri"/>
        <family val="2"/>
        <scheme val="minor"/>
      </rPr>
      <t>Pa-234</t>
    </r>
    <r>
      <rPr>
        <sz val="11"/>
        <color theme="1"/>
        <rFont val="Calibri"/>
        <family val="2"/>
        <scheme val="minor"/>
      </rPr>
      <t>/2E3 + C</t>
    </r>
    <r>
      <rPr>
        <vertAlign val="subscript"/>
        <sz val="11"/>
        <color theme="1"/>
        <rFont val="Calibri"/>
        <family val="2"/>
        <scheme val="minor"/>
      </rPr>
      <t>Th-234</t>
    </r>
    <r>
      <rPr>
        <sz val="11"/>
        <color theme="1"/>
        <rFont val="Calibri"/>
        <family val="2"/>
        <scheme val="minor"/>
      </rPr>
      <t>/3E2 + C</t>
    </r>
    <r>
      <rPr>
        <vertAlign val="subscript"/>
        <sz val="11"/>
        <color theme="1"/>
        <rFont val="Calibri"/>
        <family val="2"/>
        <scheme val="minor"/>
      </rPr>
      <t>U-238</t>
    </r>
    <r>
      <rPr>
        <sz val="11"/>
        <color theme="1"/>
        <rFont val="Calibri"/>
        <family val="2"/>
        <scheme val="minor"/>
      </rPr>
      <t>/10) = 1</t>
    </r>
  </si>
  <si>
    <r>
      <rPr>
        <b/>
        <sz val="11"/>
        <color theme="1"/>
        <rFont val="Calibri"/>
        <family val="2"/>
        <scheme val="minor"/>
      </rPr>
      <t>Ra-226:</t>
    </r>
    <r>
      <rPr>
        <sz val="11"/>
        <color theme="1"/>
        <rFont val="Calibri"/>
        <family val="2"/>
        <scheme val="minor"/>
      </rPr>
      <t xml:space="preserve"> (C</t>
    </r>
    <r>
      <rPr>
        <vertAlign val="subscript"/>
        <sz val="11"/>
        <color theme="1"/>
        <rFont val="Calibri"/>
        <family val="2"/>
        <scheme val="minor"/>
      </rPr>
      <t>Po-210</t>
    </r>
    <r>
      <rPr>
        <sz val="11"/>
        <color theme="1"/>
        <rFont val="Calibri"/>
        <family val="2"/>
        <scheme val="minor"/>
      </rPr>
      <t>/3 + C</t>
    </r>
    <r>
      <rPr>
        <vertAlign val="subscript"/>
        <sz val="11"/>
        <color theme="1"/>
        <rFont val="Calibri"/>
        <family val="2"/>
        <scheme val="minor"/>
      </rPr>
      <t>Pb-210</t>
    </r>
    <r>
      <rPr>
        <sz val="11"/>
        <color theme="1"/>
        <rFont val="Calibri"/>
        <family val="2"/>
        <scheme val="minor"/>
      </rPr>
      <t>/0.6 + C</t>
    </r>
    <r>
      <rPr>
        <vertAlign val="subscript"/>
        <sz val="11"/>
        <color theme="1"/>
        <rFont val="Calibri"/>
        <family val="2"/>
        <scheme val="minor"/>
      </rPr>
      <t>Bi-210</t>
    </r>
    <r>
      <rPr>
        <sz val="11"/>
        <color theme="1"/>
        <rFont val="Calibri"/>
        <family val="2"/>
        <scheme val="minor"/>
      </rPr>
      <t>/800 + C</t>
    </r>
    <r>
      <rPr>
        <vertAlign val="subscript"/>
        <sz val="11"/>
        <color theme="1"/>
        <rFont val="Calibri"/>
        <family val="2"/>
        <scheme val="minor"/>
      </rPr>
      <t>Bi-214</t>
    </r>
    <r>
      <rPr>
        <sz val="11"/>
        <color theme="1"/>
        <rFont val="Calibri"/>
        <family val="2"/>
        <scheme val="minor"/>
      </rPr>
      <t>/2E4 + C</t>
    </r>
    <r>
      <rPr>
        <vertAlign val="subscript"/>
        <sz val="11"/>
        <color theme="1"/>
        <rFont val="Calibri"/>
        <family val="2"/>
        <scheme val="minor"/>
      </rPr>
      <t>Pb-214</t>
    </r>
    <r>
      <rPr>
        <sz val="11"/>
        <color theme="1"/>
        <rFont val="Calibri"/>
        <family val="2"/>
        <scheme val="minor"/>
      </rPr>
      <t>/9E3 + C</t>
    </r>
    <r>
      <rPr>
        <vertAlign val="subscript"/>
        <sz val="11"/>
        <color theme="1"/>
        <rFont val="Calibri"/>
        <family val="2"/>
        <scheme val="minor"/>
      </rPr>
      <t>Ra-226</t>
    </r>
    <r>
      <rPr>
        <sz val="11"/>
        <color theme="1"/>
        <rFont val="Calibri"/>
        <family val="2"/>
        <scheme val="minor"/>
      </rPr>
      <t>/2) = 1</t>
    </r>
  </si>
  <si>
    <r>
      <rPr>
        <b/>
        <sz val="11"/>
        <color theme="1"/>
        <rFont val="Calibri"/>
        <family val="2"/>
        <scheme val="minor"/>
      </rPr>
      <t>Th-230</t>
    </r>
    <r>
      <rPr>
        <sz val="11"/>
        <color theme="1"/>
        <rFont val="Calibri"/>
        <family val="2"/>
        <scheme val="minor"/>
      </rPr>
      <t>: (C</t>
    </r>
    <r>
      <rPr>
        <vertAlign val="subscript"/>
        <sz val="11"/>
        <color theme="1"/>
        <rFont val="Calibri"/>
        <family val="2"/>
        <scheme val="minor"/>
      </rPr>
      <t>Po-210</t>
    </r>
    <r>
      <rPr>
        <sz val="11"/>
        <color theme="1"/>
        <rFont val="Calibri"/>
        <family val="2"/>
        <scheme val="minor"/>
      </rPr>
      <t>/3 + C</t>
    </r>
    <r>
      <rPr>
        <vertAlign val="subscript"/>
        <sz val="11"/>
        <color theme="1"/>
        <rFont val="Calibri"/>
        <family val="2"/>
        <scheme val="minor"/>
      </rPr>
      <t>Pb-210</t>
    </r>
    <r>
      <rPr>
        <sz val="11"/>
        <color theme="1"/>
        <rFont val="Calibri"/>
        <family val="2"/>
        <scheme val="minor"/>
      </rPr>
      <t>/0.6 + C</t>
    </r>
    <r>
      <rPr>
        <vertAlign val="subscript"/>
        <sz val="11"/>
        <color theme="1"/>
        <rFont val="Calibri"/>
        <family val="2"/>
        <scheme val="minor"/>
      </rPr>
      <t>Bi-210</t>
    </r>
    <r>
      <rPr>
        <sz val="11"/>
        <color theme="1"/>
        <rFont val="Calibri"/>
        <family val="2"/>
        <scheme val="minor"/>
      </rPr>
      <t>/800 + C</t>
    </r>
    <r>
      <rPr>
        <vertAlign val="subscript"/>
        <sz val="11"/>
        <color theme="1"/>
        <rFont val="Calibri"/>
        <family val="2"/>
        <scheme val="minor"/>
      </rPr>
      <t>Bi-214</t>
    </r>
    <r>
      <rPr>
        <sz val="11"/>
        <color theme="1"/>
        <rFont val="Calibri"/>
        <family val="2"/>
        <scheme val="minor"/>
      </rPr>
      <t>/2E4 + C</t>
    </r>
    <r>
      <rPr>
        <vertAlign val="subscript"/>
        <sz val="11"/>
        <color theme="1"/>
        <rFont val="Calibri"/>
        <family val="2"/>
        <scheme val="minor"/>
      </rPr>
      <t>Pb-214</t>
    </r>
    <r>
      <rPr>
        <sz val="11"/>
        <color theme="1"/>
        <rFont val="Calibri"/>
        <family val="2"/>
        <scheme val="minor"/>
      </rPr>
      <t>/9E3 + C</t>
    </r>
    <r>
      <rPr>
        <vertAlign val="subscript"/>
        <sz val="11"/>
        <color theme="1"/>
        <rFont val="Calibri"/>
        <family val="2"/>
        <scheme val="minor"/>
      </rPr>
      <t>Ra-226</t>
    </r>
    <r>
      <rPr>
        <sz val="11"/>
        <color theme="1"/>
        <rFont val="Calibri"/>
        <family val="2"/>
        <scheme val="minor"/>
      </rPr>
      <t>/2 + C</t>
    </r>
    <r>
      <rPr>
        <vertAlign val="subscript"/>
        <sz val="11"/>
        <color theme="1"/>
        <rFont val="Calibri"/>
        <family val="2"/>
        <scheme val="minor"/>
      </rPr>
      <t>Th-230</t>
    </r>
    <r>
      <rPr>
        <sz val="11"/>
        <color theme="1"/>
        <rFont val="Calibri"/>
        <family val="2"/>
        <scheme val="minor"/>
      </rPr>
      <t>/4) = 1</t>
    </r>
  </si>
  <si>
    <t>U-235</t>
  </si>
  <si>
    <t>U-235:</t>
  </si>
  <si>
    <t>Pb-211</t>
  </si>
  <si>
    <t>Ra-223</t>
  </si>
  <si>
    <t>Fr-223</t>
  </si>
  <si>
    <t>Th-227</t>
  </si>
  <si>
    <t>Ac-227</t>
  </si>
  <si>
    <t>Pa-231</t>
  </si>
  <si>
    <t>Th-231</t>
  </si>
  <si>
    <r>
      <rPr>
        <b/>
        <sz val="11"/>
        <color theme="1"/>
        <rFont val="Calibri"/>
        <family val="2"/>
        <scheme val="minor"/>
      </rPr>
      <t>U-235 Portion of U-Nat</t>
    </r>
    <r>
      <rPr>
        <sz val="11"/>
        <color theme="1"/>
        <rFont val="Calibri"/>
        <family val="2"/>
        <scheme val="minor"/>
      </rPr>
      <t/>
    </r>
  </si>
  <si>
    <r>
      <t>Sum of Ratios Derived ALI (uCis)</t>
    </r>
    <r>
      <rPr>
        <b/>
        <vertAlign val="superscript"/>
        <sz val="11"/>
        <color theme="1"/>
        <rFont val="Calibri"/>
        <family val="2"/>
        <scheme val="minor"/>
      </rPr>
      <t>1</t>
    </r>
  </si>
  <si>
    <r>
      <rPr>
        <b/>
        <sz val="11"/>
        <color theme="1"/>
        <rFont val="Calibri"/>
        <family val="2"/>
        <scheme val="minor"/>
      </rPr>
      <t>U-Nat:</t>
    </r>
    <r>
      <rPr>
        <sz val="11"/>
        <color theme="1"/>
        <rFont val="Calibri"/>
        <family val="2"/>
        <scheme val="minor"/>
      </rPr>
      <t xml:space="preserve"> </t>
    </r>
    <r>
      <rPr>
        <i/>
        <sz val="10"/>
        <color theme="1"/>
        <rFont val="Calibri"/>
        <family val="2"/>
        <scheme val="minor"/>
      </rPr>
      <t>(U-238 chain in equilibrium @ 48.9% activity of total activity, U-234 @ 48.9% of activity, and U-235 chain in equilibrium @ 2.2% of total activity)</t>
    </r>
  </si>
  <si>
    <t>U-235 'C' Terms</t>
  </si>
  <si>
    <r>
      <t xml:space="preserve">Incidental ingestion rate </t>
    </r>
    <r>
      <rPr>
        <b/>
        <i/>
        <sz val="11"/>
        <color theme="1"/>
        <rFont val="Calibri"/>
        <family val="2"/>
        <scheme val="minor"/>
      </rPr>
      <t>(grams/day)</t>
    </r>
    <r>
      <rPr>
        <b/>
        <sz val="11"/>
        <color theme="1"/>
        <rFont val="Calibri"/>
        <family val="2"/>
        <scheme val="minor"/>
      </rPr>
      <t>:</t>
    </r>
  </si>
  <si>
    <t>Dose per gram of TENORM ingested (mR)</t>
  </si>
  <si>
    <t>Bi-212</t>
  </si>
  <si>
    <t>Pb-212</t>
  </si>
  <si>
    <t>Ra-224</t>
  </si>
  <si>
    <t>Ra-228</t>
  </si>
  <si>
    <t>Ac-228</t>
  </si>
  <si>
    <t>Th-232</t>
  </si>
  <si>
    <r>
      <rPr>
        <b/>
        <sz val="11"/>
        <color theme="1"/>
        <rFont val="Calibri"/>
        <family val="2"/>
        <scheme val="minor"/>
      </rPr>
      <t>Th-228:</t>
    </r>
    <r>
      <rPr>
        <sz val="11"/>
        <color theme="1"/>
        <rFont val="Calibri"/>
        <family val="2"/>
        <scheme val="minor"/>
      </rPr>
      <t xml:space="preserve"> (C</t>
    </r>
    <r>
      <rPr>
        <vertAlign val="subscript"/>
        <sz val="11"/>
        <color theme="1"/>
        <rFont val="Calibri"/>
        <family val="2"/>
        <scheme val="minor"/>
      </rPr>
      <t>Th-228</t>
    </r>
    <r>
      <rPr>
        <sz val="11"/>
        <color theme="1"/>
        <rFont val="Calibri"/>
        <family val="2"/>
        <scheme val="minor"/>
      </rPr>
      <t>/6 + C</t>
    </r>
    <r>
      <rPr>
        <vertAlign val="subscript"/>
        <sz val="11"/>
        <color theme="1"/>
        <rFont val="Calibri"/>
        <family val="2"/>
        <scheme val="minor"/>
      </rPr>
      <t>Ra-224</t>
    </r>
    <r>
      <rPr>
        <sz val="11"/>
        <color theme="1"/>
        <rFont val="Calibri"/>
        <family val="2"/>
        <scheme val="minor"/>
      </rPr>
      <t>/8 + C</t>
    </r>
    <r>
      <rPr>
        <vertAlign val="subscript"/>
        <sz val="11"/>
        <color theme="1"/>
        <rFont val="Calibri"/>
        <family val="2"/>
        <scheme val="minor"/>
      </rPr>
      <t>Pb-212</t>
    </r>
    <r>
      <rPr>
        <sz val="11"/>
        <color theme="1"/>
        <rFont val="Calibri"/>
        <family val="2"/>
        <scheme val="minor"/>
      </rPr>
      <t>/80 + C</t>
    </r>
    <r>
      <rPr>
        <vertAlign val="subscript"/>
        <sz val="11"/>
        <color theme="1"/>
        <rFont val="Calibri"/>
        <family val="2"/>
        <scheme val="minor"/>
      </rPr>
      <t>Bi-212</t>
    </r>
    <r>
      <rPr>
        <sz val="11"/>
        <color theme="1"/>
        <rFont val="Calibri"/>
        <family val="2"/>
        <scheme val="minor"/>
      </rPr>
      <t>/5E3</t>
    </r>
  </si>
  <si>
    <t>Max upper bound of concentration range  afforded due to incidental ingestion (pCi/g)</t>
  </si>
  <si>
    <r>
      <t xml:space="preserve">Derived ingested activity to arrive at 25mR/yr </t>
    </r>
    <r>
      <rPr>
        <i/>
        <sz val="11"/>
        <color theme="1"/>
        <rFont val="Calibri"/>
        <family val="2"/>
        <scheme val="minor"/>
      </rPr>
      <t>(pCi's)</t>
    </r>
  </si>
  <si>
    <t>Derived ingestion ALI (pCis)</t>
  </si>
  <si>
    <t>Derived inhalation ALI (pCis)</t>
  </si>
  <si>
    <t>Grams of TENORM to inhale to reach ALI</t>
  </si>
  <si>
    <r>
      <rPr>
        <b/>
        <sz val="11"/>
        <color theme="1"/>
        <rFont val="Calibri"/>
        <family val="2"/>
        <scheme val="minor"/>
      </rPr>
      <t>U-235</t>
    </r>
    <r>
      <rPr>
        <sz val="11"/>
        <color theme="1"/>
        <rFont val="Calibri"/>
        <family val="2"/>
        <scheme val="minor"/>
      </rPr>
      <t xml:space="preserve"> </t>
    </r>
    <r>
      <rPr>
        <b/>
        <sz val="11"/>
        <color theme="1"/>
        <rFont val="Calibri"/>
        <family val="2"/>
        <scheme val="minor"/>
      </rPr>
      <t>(Y)</t>
    </r>
    <r>
      <rPr>
        <sz val="11"/>
        <color theme="1"/>
        <rFont val="Calibri"/>
        <family val="2"/>
        <scheme val="minor"/>
      </rPr>
      <t xml:space="preserve"> </t>
    </r>
    <r>
      <rPr>
        <i/>
        <sz val="11"/>
        <color theme="1"/>
        <rFont val="Calibri"/>
        <family val="2"/>
        <scheme val="minor"/>
      </rPr>
      <t xml:space="preserve">(U-235, Th-231) </t>
    </r>
    <r>
      <rPr>
        <sz val="11"/>
        <color theme="1"/>
        <rFont val="Calibri"/>
        <family val="2"/>
        <scheme val="minor"/>
      </rPr>
      <t xml:space="preserve"> </t>
    </r>
  </si>
  <si>
    <t xml:space="preserve">U-234 (Y) </t>
  </si>
  <si>
    <r>
      <rPr>
        <b/>
        <sz val="11"/>
        <color theme="1"/>
        <rFont val="Calibri"/>
        <family val="2"/>
        <scheme val="minor"/>
      </rPr>
      <t>Th-230 (W)</t>
    </r>
    <r>
      <rPr>
        <sz val="11"/>
        <color theme="1"/>
        <rFont val="Calibri"/>
        <family val="2"/>
        <scheme val="minor"/>
      </rPr>
      <t xml:space="preserve">  </t>
    </r>
    <r>
      <rPr>
        <i/>
        <sz val="11"/>
        <color theme="1"/>
        <rFont val="Calibri"/>
        <family val="2"/>
        <scheme val="minor"/>
      </rPr>
      <t>(Th-230, Ra-226 Rn-222, Po-218, Pb-214, Bi-214, Po-214, Pb-210, Bi-210, Po-210)</t>
    </r>
  </si>
  <si>
    <r>
      <rPr>
        <b/>
        <sz val="11"/>
        <color theme="1"/>
        <rFont val="Calibri"/>
        <family val="2"/>
        <scheme val="minor"/>
      </rPr>
      <t>Th-228 (W)</t>
    </r>
    <r>
      <rPr>
        <sz val="11"/>
        <color theme="1"/>
        <rFont val="Calibri"/>
        <family val="2"/>
        <scheme val="minor"/>
      </rPr>
      <t xml:space="preserve">  </t>
    </r>
    <r>
      <rPr>
        <i/>
        <sz val="11"/>
        <color theme="1"/>
        <rFont val="Calibri"/>
        <family val="2"/>
        <scheme val="minor"/>
      </rPr>
      <t>(Th-228, Ra-224, Rn-220, Po-216, Pb-212, Bi-212, Tl-208 (0.36), Po-212 (0.64))</t>
    </r>
  </si>
  <si>
    <t>Bi-210 (W)</t>
  </si>
  <si>
    <t>Bi-214 (W)</t>
  </si>
  <si>
    <t>Th-230 (W)</t>
  </si>
  <si>
    <t>U-234 (Y)</t>
  </si>
  <si>
    <t>Pa-234 (Y)</t>
  </si>
  <si>
    <t>U-238 (Y)</t>
  </si>
  <si>
    <t>Ac-227 (D)</t>
  </si>
  <si>
    <t>Pa-231 (W)</t>
  </si>
  <si>
    <t>U-235 (Y)</t>
  </si>
  <si>
    <t>Bi-212 (D)</t>
  </si>
  <si>
    <t>Th-228 (W)</t>
  </si>
  <si>
    <t>Ac-228 (D)</t>
  </si>
  <si>
    <t>Th-232 (W)</t>
  </si>
  <si>
    <r>
      <t xml:space="preserve">Inhalation Rate </t>
    </r>
    <r>
      <rPr>
        <i/>
        <sz val="11"/>
        <color theme="1"/>
        <rFont val="Calibri"/>
        <family val="2"/>
        <scheme val="minor"/>
      </rPr>
      <t>(cubic meters per year)</t>
    </r>
  </si>
  <si>
    <r>
      <t>Average mass loading</t>
    </r>
    <r>
      <rPr>
        <i/>
        <sz val="11"/>
        <color theme="1"/>
        <rFont val="Calibri"/>
        <family val="2"/>
        <scheme val="minor"/>
      </rPr>
      <t xml:space="preserve"> (grams per cubic meter)</t>
    </r>
  </si>
  <si>
    <t>Grams per year inhaled:</t>
  </si>
  <si>
    <t xml:space="preserve">CEDE Dose Rate for Inhalation (mR/yr) </t>
  </si>
  <si>
    <t>Dose per gram of TENORM inhaled (mR)</t>
  </si>
  <si>
    <t>Max upper bound of concentration range  afforded due to incidental inhalation (pCi/g)</t>
  </si>
  <si>
    <r>
      <t xml:space="preserve">Derived inhaled activity to arrive at 25mR/yr </t>
    </r>
    <r>
      <rPr>
        <i/>
        <sz val="11"/>
        <color theme="1"/>
        <rFont val="Calibri"/>
        <family val="2"/>
        <scheme val="minor"/>
      </rPr>
      <t>(pCi's)</t>
    </r>
  </si>
  <si>
    <t>Max. concentration  resulting in 12 mR/yr</t>
  </si>
  <si>
    <r>
      <rPr>
        <i/>
        <vertAlign val="superscript"/>
        <sz val="11"/>
        <color theme="1"/>
        <rFont val="Calibri"/>
        <family val="2"/>
        <scheme val="minor"/>
      </rPr>
      <t>1</t>
    </r>
    <r>
      <rPr>
        <i/>
        <sz val="10"/>
        <color theme="1"/>
        <rFont val="Calibri"/>
        <family val="2"/>
        <scheme val="minor"/>
      </rPr>
      <t xml:space="preserve"> Secular equilibrium assumed in the nuclides listed for each chain</t>
    </r>
  </si>
  <si>
    <r>
      <rPr>
        <vertAlign val="superscript"/>
        <sz val="11"/>
        <color theme="1"/>
        <rFont val="Calibri"/>
        <family val="2"/>
        <scheme val="minor"/>
      </rPr>
      <t>3</t>
    </r>
    <r>
      <rPr>
        <sz val="8"/>
        <color theme="1"/>
        <rFont val="Calibri"/>
        <family val="2"/>
        <scheme val="minor"/>
      </rPr>
      <t xml:space="preserve">  This factor is the ratio of airborne dust concentration indoors on-site to the concentration outdoors on-site. It is based on the fact that a building provides shielding against entry of windblown dust particles. Therefore, calculation of the effective dose from the dust inhalation pathway should take into account this dust filtration effect. The filtration factor value is used in calculating the occupancy factor. For example, based on the assumption that 50% of the time is spent indoors with filtration factor of 0.4, 25% is spent outdoors in the contaminated area, and 25% is spent in uncontaminated areas, the occupancy factor for inhalation pathway dose calculations would be as follows:  0.5x0.4 + 0.25x1+ 0.25x0 = 0.45</t>
    </r>
  </si>
  <si>
    <r>
      <t xml:space="preserve">Occupancy and filtration factor </t>
    </r>
    <r>
      <rPr>
        <i/>
        <vertAlign val="superscript"/>
        <sz val="11"/>
        <color theme="1"/>
        <rFont val="Calibri"/>
        <family val="2"/>
        <scheme val="minor"/>
      </rPr>
      <t>3</t>
    </r>
  </si>
  <si>
    <t>% of Time offsite</t>
  </si>
  <si>
    <t>Indoor Filtration Factor</t>
  </si>
  <si>
    <t>% of Time Indoors</t>
  </si>
  <si>
    <t>% of Time Outdoors (in source term)</t>
  </si>
  <si>
    <t>This scenario also assumes that the source term alone accounts for all dust/particles incidentally inhaled during a year.</t>
  </si>
  <si>
    <r>
      <t xml:space="preserve">Modeled Concentration </t>
    </r>
    <r>
      <rPr>
        <i/>
        <sz val="11"/>
        <color theme="1"/>
        <rFont val="Calibri"/>
        <family val="2"/>
        <scheme val="minor"/>
      </rPr>
      <t>(pCi/g)</t>
    </r>
  </si>
  <si>
    <r>
      <t xml:space="preserve">Modeled Concentration </t>
    </r>
    <r>
      <rPr>
        <i/>
        <sz val="11"/>
        <color theme="1"/>
        <rFont val="Calibri"/>
        <family val="2"/>
        <scheme val="minor"/>
      </rPr>
      <t>(Bq/g)</t>
    </r>
  </si>
  <si>
    <r>
      <t xml:space="preserve">Proposed Activity Limit </t>
    </r>
    <r>
      <rPr>
        <i/>
        <sz val="11"/>
        <color theme="1"/>
        <rFont val="Calibri"/>
        <family val="2"/>
        <scheme val="minor"/>
      </rPr>
      <t>(uCi)</t>
    </r>
  </si>
  <si>
    <r>
      <t xml:space="preserve">Proposed Activity Limit </t>
    </r>
    <r>
      <rPr>
        <i/>
        <sz val="11"/>
        <color theme="1"/>
        <rFont val="Calibri"/>
        <family val="2"/>
        <scheme val="minor"/>
      </rPr>
      <t>(pCi)</t>
    </r>
  </si>
  <si>
    <t>Dose projections for Very Large Quantities of Material beneath the exempt concentration</t>
  </si>
  <si>
    <t xml:space="preserve"> DOES NOT INCLUDE INHALATION OF RADON </t>
  </si>
  <si>
    <t>Th-Nat, 2.9 pCi/g</t>
  </si>
  <si>
    <r>
      <t>Depth (m) of Contaminated zone on 1000m</t>
    </r>
    <r>
      <rPr>
        <vertAlign val="superscript"/>
        <sz val="11"/>
        <color theme="1"/>
        <rFont val="Calibri"/>
        <family val="2"/>
        <scheme val="minor"/>
      </rPr>
      <t>2</t>
    </r>
    <r>
      <rPr>
        <sz val="11"/>
        <color theme="1"/>
        <rFont val="Calibri"/>
        <family val="2"/>
        <scheme val="minor"/>
      </rPr>
      <t xml:space="preserve"> Residential Site</t>
    </r>
  </si>
  <si>
    <r>
      <t>Dose (mR/yr) at 1000m</t>
    </r>
    <r>
      <rPr>
        <vertAlign val="superscript"/>
        <sz val="11"/>
        <color theme="1"/>
        <rFont val="Calibri"/>
        <family val="2"/>
        <scheme val="minor"/>
      </rPr>
      <t>2</t>
    </r>
  </si>
  <si>
    <r>
      <t>Depth (m) of Contaminated zone on 5000m</t>
    </r>
    <r>
      <rPr>
        <vertAlign val="superscript"/>
        <sz val="11"/>
        <color theme="1"/>
        <rFont val="Calibri"/>
        <family val="2"/>
        <scheme val="minor"/>
      </rPr>
      <t>2</t>
    </r>
    <r>
      <rPr>
        <sz val="11"/>
        <color theme="1"/>
        <rFont val="Calibri"/>
        <family val="2"/>
        <scheme val="minor"/>
      </rPr>
      <t xml:space="preserve"> Residential Site</t>
    </r>
  </si>
  <si>
    <r>
      <t>Dose (mR/yr) at 5000m</t>
    </r>
    <r>
      <rPr>
        <vertAlign val="superscript"/>
        <sz val="11"/>
        <color theme="1"/>
        <rFont val="Calibri"/>
        <family val="2"/>
        <scheme val="minor"/>
      </rPr>
      <t>2</t>
    </r>
  </si>
  <si>
    <r>
      <t>Dose (mR/yr) at 20,000m</t>
    </r>
    <r>
      <rPr>
        <vertAlign val="superscript"/>
        <sz val="11"/>
        <color theme="1"/>
        <rFont val="Calibri"/>
        <family val="2"/>
        <scheme val="minor"/>
      </rPr>
      <t>2</t>
    </r>
  </si>
  <si>
    <r>
      <t>Depth (m) of Contaminated zone on 15,000m</t>
    </r>
    <r>
      <rPr>
        <vertAlign val="superscript"/>
        <sz val="11"/>
        <color theme="1"/>
        <rFont val="Calibri"/>
        <family val="2"/>
        <scheme val="minor"/>
      </rPr>
      <t>2</t>
    </r>
    <r>
      <rPr>
        <sz val="11"/>
        <color theme="1"/>
        <rFont val="Calibri"/>
        <family val="2"/>
        <scheme val="minor"/>
      </rPr>
      <t xml:space="preserve"> </t>
    </r>
    <r>
      <rPr>
        <b/>
        <i/>
        <sz val="11"/>
        <color theme="1"/>
        <rFont val="Calibri"/>
        <family val="2"/>
        <scheme val="minor"/>
      </rPr>
      <t xml:space="preserve">Subsistence Farmer </t>
    </r>
    <r>
      <rPr>
        <sz val="11"/>
        <color theme="1"/>
        <rFont val="Calibri"/>
        <family val="2"/>
        <scheme val="minor"/>
      </rPr>
      <t>Site</t>
    </r>
  </si>
  <si>
    <r>
      <t>Dose (mR/yr) at 15,000m</t>
    </r>
    <r>
      <rPr>
        <vertAlign val="superscript"/>
        <sz val="11"/>
        <color theme="1"/>
        <rFont val="Calibri"/>
        <family val="2"/>
        <scheme val="minor"/>
      </rPr>
      <t>2</t>
    </r>
  </si>
  <si>
    <r>
      <t>Depth (m) of Contaminated zone on 10,000m</t>
    </r>
    <r>
      <rPr>
        <vertAlign val="superscript"/>
        <sz val="11"/>
        <color theme="1"/>
        <rFont val="Calibri"/>
        <family val="2"/>
        <scheme val="minor"/>
      </rPr>
      <t>2</t>
    </r>
    <r>
      <rPr>
        <sz val="11"/>
        <color theme="1"/>
        <rFont val="Calibri"/>
        <family val="2"/>
        <scheme val="minor"/>
      </rPr>
      <t xml:space="preserve"> </t>
    </r>
    <r>
      <rPr>
        <b/>
        <i/>
        <sz val="11"/>
        <color theme="1"/>
        <rFont val="Calibri"/>
        <family val="2"/>
        <scheme val="minor"/>
      </rPr>
      <t xml:space="preserve">Subsistence Farmer </t>
    </r>
    <r>
      <rPr>
        <sz val="11"/>
        <color theme="1"/>
        <rFont val="Calibri"/>
        <family val="2"/>
        <scheme val="minor"/>
      </rPr>
      <t>Site</t>
    </r>
  </si>
  <si>
    <r>
      <t>Dose (mR/yr) at 10,000m</t>
    </r>
    <r>
      <rPr>
        <vertAlign val="superscript"/>
        <sz val="11"/>
        <color theme="1"/>
        <rFont val="Calibri"/>
        <family val="2"/>
        <scheme val="minor"/>
      </rPr>
      <t>2</t>
    </r>
  </si>
  <si>
    <r>
      <t>Depth (m) of Contaminated zone on 750m</t>
    </r>
    <r>
      <rPr>
        <vertAlign val="superscript"/>
        <sz val="11"/>
        <color theme="1"/>
        <rFont val="Calibri"/>
        <family val="2"/>
        <scheme val="minor"/>
      </rPr>
      <t>2</t>
    </r>
    <r>
      <rPr>
        <sz val="11"/>
        <color theme="1"/>
        <rFont val="Calibri"/>
        <family val="2"/>
        <scheme val="minor"/>
      </rPr>
      <t xml:space="preserve"> Residential Site</t>
    </r>
  </si>
  <si>
    <r>
      <t>Dose (mR/yr) at 750m</t>
    </r>
    <r>
      <rPr>
        <vertAlign val="superscript"/>
        <sz val="11"/>
        <color theme="1"/>
        <rFont val="Calibri"/>
        <family val="2"/>
        <scheme val="minor"/>
      </rPr>
      <t>2</t>
    </r>
  </si>
  <si>
    <r>
      <t>Depth (m) of Contaminated zone on 2500m</t>
    </r>
    <r>
      <rPr>
        <vertAlign val="superscript"/>
        <sz val="11"/>
        <color theme="1"/>
        <rFont val="Calibri"/>
        <family val="2"/>
        <scheme val="minor"/>
      </rPr>
      <t>2</t>
    </r>
    <r>
      <rPr>
        <sz val="11"/>
        <color theme="1"/>
        <rFont val="Calibri"/>
        <family val="2"/>
        <scheme val="minor"/>
      </rPr>
      <t xml:space="preserve"> Residential Site</t>
    </r>
  </si>
  <si>
    <r>
      <t>Dose (mR/yr) at 2500m</t>
    </r>
    <r>
      <rPr>
        <vertAlign val="superscript"/>
        <sz val="11"/>
        <color theme="1"/>
        <rFont val="Calibri"/>
        <family val="2"/>
        <scheme val="minor"/>
      </rPr>
      <t>2</t>
    </r>
  </si>
  <si>
    <r>
      <t>Depth (m) of Contaminated zone on 80,000m</t>
    </r>
    <r>
      <rPr>
        <vertAlign val="superscript"/>
        <sz val="11"/>
        <color theme="1"/>
        <rFont val="Calibri"/>
        <family val="2"/>
        <scheme val="minor"/>
      </rPr>
      <t>2</t>
    </r>
    <r>
      <rPr>
        <sz val="11"/>
        <color theme="1"/>
        <rFont val="Calibri"/>
        <family val="2"/>
        <scheme val="minor"/>
      </rPr>
      <t xml:space="preserve"> </t>
    </r>
    <r>
      <rPr>
        <b/>
        <i/>
        <sz val="11"/>
        <color theme="1"/>
        <rFont val="Calibri"/>
        <family val="2"/>
        <scheme val="minor"/>
      </rPr>
      <t>Subsistence Farmer</t>
    </r>
    <r>
      <rPr>
        <sz val="11"/>
        <color theme="1"/>
        <rFont val="Calibri"/>
        <family val="2"/>
        <scheme val="minor"/>
      </rPr>
      <t xml:space="preserve"> Site</t>
    </r>
  </si>
  <si>
    <r>
      <t>Dose (mR/yr) at 80,000m</t>
    </r>
    <r>
      <rPr>
        <vertAlign val="superscript"/>
        <sz val="11"/>
        <color theme="1"/>
        <rFont val="Calibri"/>
        <family val="2"/>
        <scheme val="minor"/>
      </rPr>
      <t>2</t>
    </r>
  </si>
  <si>
    <r>
      <t>Depth (m) of Contaminated zone on 20,000m</t>
    </r>
    <r>
      <rPr>
        <vertAlign val="superscript"/>
        <sz val="11"/>
        <color theme="1"/>
        <rFont val="Calibri"/>
        <family val="2"/>
        <scheme val="minor"/>
      </rPr>
      <t>2</t>
    </r>
    <r>
      <rPr>
        <sz val="11"/>
        <color theme="1"/>
        <rFont val="Calibri"/>
        <family val="2"/>
        <scheme val="minor"/>
      </rPr>
      <t xml:space="preserve"> </t>
    </r>
    <r>
      <rPr>
        <b/>
        <i/>
        <sz val="11"/>
        <color theme="1"/>
        <rFont val="Calibri"/>
        <family val="2"/>
        <scheme val="minor"/>
      </rPr>
      <t xml:space="preserve">Subsistence Farmer </t>
    </r>
    <r>
      <rPr>
        <sz val="11"/>
        <color theme="1"/>
        <rFont val="Calibri"/>
        <family val="2"/>
        <scheme val="minor"/>
      </rPr>
      <t>Site</t>
    </r>
  </si>
  <si>
    <r>
      <t>Depth (m) of Contaminated zone on 40,000m</t>
    </r>
    <r>
      <rPr>
        <vertAlign val="superscript"/>
        <sz val="11"/>
        <color theme="1"/>
        <rFont val="Calibri"/>
        <family val="2"/>
        <scheme val="minor"/>
      </rPr>
      <t>2</t>
    </r>
    <r>
      <rPr>
        <sz val="11"/>
        <color theme="1"/>
        <rFont val="Calibri"/>
        <family val="2"/>
        <scheme val="minor"/>
      </rPr>
      <t xml:space="preserve"> </t>
    </r>
    <r>
      <rPr>
        <b/>
        <i/>
        <sz val="11"/>
        <color theme="1"/>
        <rFont val="Calibri"/>
        <family val="2"/>
        <scheme val="minor"/>
      </rPr>
      <t xml:space="preserve">Subsistence Farmer </t>
    </r>
    <r>
      <rPr>
        <sz val="11"/>
        <color theme="1"/>
        <rFont val="Calibri"/>
        <family val="2"/>
        <scheme val="minor"/>
      </rPr>
      <t>Site</t>
    </r>
  </si>
  <si>
    <r>
      <t>Depth (m) of Contaminated zone on 7500m</t>
    </r>
    <r>
      <rPr>
        <vertAlign val="superscript"/>
        <sz val="11"/>
        <color theme="1"/>
        <rFont val="Calibri"/>
        <family val="2"/>
        <scheme val="minor"/>
      </rPr>
      <t>2</t>
    </r>
    <r>
      <rPr>
        <sz val="11"/>
        <color theme="1"/>
        <rFont val="Calibri"/>
        <family val="2"/>
        <scheme val="minor"/>
      </rPr>
      <t xml:space="preserve"> Residential Site</t>
    </r>
  </si>
  <si>
    <r>
      <t>Dose (mR/yr) at 7500m</t>
    </r>
    <r>
      <rPr>
        <vertAlign val="superscript"/>
        <sz val="11"/>
        <color theme="1"/>
        <rFont val="Calibri"/>
        <family val="2"/>
        <scheme val="minor"/>
      </rPr>
      <t>2</t>
    </r>
  </si>
  <si>
    <r>
      <t>Dose (mR/yr) at 40,000m</t>
    </r>
    <r>
      <rPr>
        <vertAlign val="superscript"/>
        <sz val="11"/>
        <color theme="1"/>
        <rFont val="Calibri"/>
        <family val="2"/>
        <scheme val="minor"/>
      </rPr>
      <t>2</t>
    </r>
  </si>
  <si>
    <r>
      <t xml:space="preserve">Implied Activity Limit </t>
    </r>
    <r>
      <rPr>
        <i/>
        <sz val="11"/>
        <color theme="1"/>
        <rFont val="Calibri"/>
        <family val="2"/>
        <scheme val="minor"/>
      </rPr>
      <t>(uCi)</t>
    </r>
  </si>
  <si>
    <r>
      <t xml:space="preserve">Implied Activity Limit </t>
    </r>
    <r>
      <rPr>
        <i/>
        <sz val="11"/>
        <color theme="1"/>
        <rFont val="Calibri"/>
        <family val="2"/>
        <scheme val="minor"/>
      </rPr>
      <t>(pCi)</t>
    </r>
  </si>
  <si>
    <r>
      <t>Peaks between 5000m</t>
    </r>
    <r>
      <rPr>
        <i/>
        <vertAlign val="superscript"/>
        <sz val="10"/>
        <color theme="1"/>
        <rFont val="Calibri"/>
        <family val="2"/>
        <scheme val="minor"/>
      </rPr>
      <t>2</t>
    </r>
    <r>
      <rPr>
        <i/>
        <sz val="10"/>
        <color theme="1"/>
        <rFont val="Calibri"/>
        <family val="2"/>
        <scheme val="minor"/>
      </rPr>
      <t xml:space="preserve"> and 1000m</t>
    </r>
    <r>
      <rPr>
        <i/>
        <vertAlign val="superscript"/>
        <sz val="10"/>
        <color theme="1"/>
        <rFont val="Calibri"/>
        <family val="2"/>
        <scheme val="minor"/>
      </rPr>
      <t>2</t>
    </r>
  </si>
  <si>
    <r>
      <t>Peak @ (~25,000m</t>
    </r>
    <r>
      <rPr>
        <i/>
        <vertAlign val="superscript"/>
        <sz val="10"/>
        <color theme="1"/>
        <rFont val="Calibri"/>
        <family val="2"/>
        <scheme val="minor"/>
      </rPr>
      <t>2</t>
    </r>
    <r>
      <rPr>
        <i/>
        <sz val="10"/>
        <color theme="1"/>
        <rFont val="Calibri"/>
        <family val="2"/>
        <scheme val="minor"/>
      </rPr>
      <t>)</t>
    </r>
  </si>
  <si>
    <t>Peaks again once water pathway comes into play with excessive depth.</t>
  </si>
  <si>
    <t>Small area &amp; Deep</t>
  </si>
  <si>
    <t>Large Area &amp; Shallow</t>
  </si>
  <si>
    <t>K-40, 12 pCi/g</t>
  </si>
  <si>
    <t>Two peaks - at large area, it is at year 0 due to external gamma.  At small area and large depth is due to impacting groundwater at year 121</t>
  </si>
  <si>
    <r>
      <t xml:space="preserve">Proposed </t>
    </r>
    <r>
      <rPr>
        <b/>
        <sz val="11"/>
        <color theme="1"/>
        <rFont val="Calibri"/>
        <family val="2"/>
        <scheme val="minor"/>
      </rPr>
      <t xml:space="preserve">Max </t>
    </r>
    <r>
      <rPr>
        <sz val="11"/>
        <color theme="1"/>
        <rFont val="Calibri"/>
        <family val="2"/>
        <scheme val="minor"/>
      </rPr>
      <t>Activity Concentration LImit (pCi/g)</t>
    </r>
  </si>
  <si>
    <r>
      <rPr>
        <b/>
        <sz val="11"/>
        <color theme="1"/>
        <rFont val="Calibri"/>
        <family val="2"/>
        <scheme val="minor"/>
      </rPr>
      <t xml:space="preserve">U-238 (Y) or U-Nat </t>
    </r>
    <r>
      <rPr>
        <sz val="11"/>
        <color theme="1"/>
        <rFont val="Calibri"/>
        <family val="2"/>
        <scheme val="minor"/>
      </rPr>
      <t xml:space="preserve"> </t>
    </r>
    <r>
      <rPr>
        <i/>
        <sz val="11"/>
        <color theme="1"/>
        <rFont val="Calibri"/>
        <family val="2"/>
        <scheme val="minor"/>
      </rPr>
      <t>(U-238, Th-234, Pa-234m)</t>
    </r>
  </si>
  <si>
    <r>
      <t>U-</t>
    </r>
    <r>
      <rPr>
        <b/>
        <i/>
        <sz val="11"/>
        <color theme="1"/>
        <rFont val="Calibri"/>
        <family val="2"/>
        <scheme val="minor"/>
      </rPr>
      <t>Equilibrium</t>
    </r>
    <r>
      <rPr>
        <b/>
        <sz val="11"/>
        <color theme="1"/>
        <rFont val="Calibri"/>
        <family val="2"/>
        <scheme val="minor"/>
      </rPr>
      <t xml:space="preserve"> (Y)</t>
    </r>
    <r>
      <rPr>
        <b/>
        <vertAlign val="superscript"/>
        <sz val="11"/>
        <color theme="1"/>
        <rFont val="Calibri"/>
        <family val="2"/>
        <scheme val="minor"/>
      </rPr>
      <t>2</t>
    </r>
    <r>
      <rPr>
        <b/>
        <sz val="11"/>
        <color theme="1"/>
        <rFont val="Calibri"/>
        <family val="2"/>
        <scheme val="minor"/>
      </rPr>
      <t xml:space="preserve">  </t>
    </r>
    <r>
      <rPr>
        <i/>
        <u/>
        <sz val="11"/>
        <color theme="1"/>
        <rFont val="Calibri"/>
        <family val="2"/>
        <scheme val="minor"/>
      </rPr>
      <t>U-238 chain (0.489)</t>
    </r>
    <r>
      <rPr>
        <b/>
        <sz val="11"/>
        <color theme="1"/>
        <rFont val="Calibri"/>
        <family val="2"/>
        <scheme val="minor"/>
      </rPr>
      <t xml:space="preserve">; </t>
    </r>
    <r>
      <rPr>
        <i/>
        <u/>
        <sz val="11"/>
        <color theme="1"/>
        <rFont val="Calibri"/>
        <family val="2"/>
        <scheme val="minor"/>
      </rPr>
      <t>U-234 (0.489)</t>
    </r>
    <r>
      <rPr>
        <b/>
        <sz val="11"/>
        <color theme="1"/>
        <rFont val="Calibri"/>
        <family val="2"/>
        <scheme val="minor"/>
      </rPr>
      <t xml:space="preserve">; </t>
    </r>
    <r>
      <rPr>
        <i/>
        <u/>
        <sz val="11"/>
        <color theme="1"/>
        <rFont val="Calibri"/>
        <family val="2"/>
        <scheme val="minor"/>
      </rPr>
      <t>Th-230 (0.489)</t>
    </r>
    <r>
      <rPr>
        <b/>
        <sz val="11"/>
        <color theme="1"/>
        <rFont val="Calibri"/>
        <family val="2"/>
        <scheme val="minor"/>
      </rPr>
      <t xml:space="preserve">, </t>
    </r>
    <r>
      <rPr>
        <i/>
        <u/>
        <sz val="11"/>
        <color theme="1"/>
        <rFont val="Calibri"/>
        <family val="2"/>
        <scheme val="minor"/>
      </rPr>
      <t>U-235 chain (0.022)</t>
    </r>
    <r>
      <rPr>
        <i/>
        <sz val="11"/>
        <color theme="1"/>
        <rFont val="Calibri"/>
        <family val="2"/>
        <scheme val="minor"/>
      </rPr>
      <t>:</t>
    </r>
    <r>
      <rPr>
        <b/>
        <sz val="11"/>
        <color theme="1"/>
        <rFont val="Calibri"/>
        <family val="2"/>
        <scheme val="minor"/>
      </rPr>
      <t xml:space="preserve"> </t>
    </r>
    <r>
      <rPr>
        <i/>
        <u/>
        <sz val="11"/>
        <color theme="1"/>
        <rFont val="Calibri"/>
        <family val="2"/>
        <scheme val="minor"/>
      </rPr>
      <t>(Ac-227, Ra-223, Rn-219, Po-215, Pb-211, Bi-211, and Tl-207 all at (0.022))</t>
    </r>
  </si>
  <si>
    <t>U238 or U-Nat</t>
  </si>
  <si>
    <r>
      <t>U-</t>
    </r>
    <r>
      <rPr>
        <i/>
        <sz val="11"/>
        <color theme="1"/>
        <rFont val="Calibri"/>
        <family val="2"/>
        <scheme val="minor"/>
      </rPr>
      <t>Equilibrium</t>
    </r>
  </si>
  <si>
    <t>-</t>
  </si>
  <si>
    <r>
      <t>Th-</t>
    </r>
    <r>
      <rPr>
        <b/>
        <i/>
        <sz val="11"/>
        <color theme="1"/>
        <rFont val="Calibri"/>
        <family val="2"/>
        <scheme val="minor"/>
      </rPr>
      <t>Equilibrium</t>
    </r>
    <r>
      <rPr>
        <b/>
        <sz val="11"/>
        <color theme="1"/>
        <rFont val="Calibri"/>
        <family val="2"/>
        <scheme val="minor"/>
      </rPr>
      <t xml:space="preserve"> </t>
    </r>
    <r>
      <rPr>
        <i/>
        <sz val="11"/>
        <color theme="1"/>
        <rFont val="Calibri"/>
        <family val="2"/>
        <scheme val="minor"/>
      </rPr>
      <t>(Th-232 in equilibrium with Ra-228, Ac-228, Th-228, Ra-224, Rn-220, Po-216, Pb-212, Bi-212, Tl-208 (0.36), Po-212 (0.64))</t>
    </r>
  </si>
  <si>
    <r>
      <rPr>
        <vertAlign val="superscript"/>
        <sz val="11"/>
        <color theme="1"/>
        <rFont val="Calibri"/>
        <family val="2"/>
        <scheme val="minor"/>
      </rPr>
      <t>2</t>
    </r>
    <r>
      <rPr>
        <sz val="11"/>
        <color theme="1"/>
        <rFont val="Calibri"/>
        <family val="2"/>
        <scheme val="minor"/>
      </rPr>
      <t xml:space="preserve"> </t>
    </r>
    <r>
      <rPr>
        <sz val="8"/>
        <color theme="1"/>
        <rFont val="Calibri"/>
        <family val="2"/>
        <scheme val="minor"/>
      </rPr>
      <t xml:space="preserve"> The complete uranium-238 (U-238) and uranium-235 (U-235) chains in their natural ratio. Used for material containing uranium in secular equilibrium with its progeny such as drill cuttings, zircon sands, etc..  Calculated using the sum of ratios for the mixture with all progeny present</t>
    </r>
    <r>
      <rPr>
        <sz val="8"/>
        <color theme="1"/>
        <rFont val="Calibri"/>
        <family val="2"/>
        <scheme val="minor"/>
      </rPr>
      <t>.</t>
    </r>
  </si>
  <si>
    <r>
      <t>Th-</t>
    </r>
    <r>
      <rPr>
        <i/>
        <sz val="11"/>
        <color theme="1"/>
        <rFont val="Calibri"/>
        <family val="2"/>
        <scheme val="minor"/>
      </rPr>
      <t>Equilibrium</t>
    </r>
  </si>
  <si>
    <t xml:space="preserve">Th232 </t>
  </si>
  <si>
    <t>U-235 Portion of U-Equilibrium</t>
  </si>
  <si>
    <r>
      <t>U-</t>
    </r>
    <r>
      <rPr>
        <i/>
        <sz val="11"/>
        <rFont val="Calibri"/>
        <family val="2"/>
        <scheme val="minor"/>
      </rPr>
      <t>Equilibrium</t>
    </r>
  </si>
  <si>
    <t>Source Term and Corresponding Dose @ Upper bound of Exempt Values</t>
  </si>
  <si>
    <t>Source Term and Corresponding Dose @ Middle of Exempt Concentration Range</t>
  </si>
  <si>
    <t>Source Term and Corresponding Dose @ Lower bound of Exempt Concentration Range</t>
  </si>
  <si>
    <r>
      <rPr>
        <b/>
        <sz val="11"/>
        <color theme="1"/>
        <rFont val="Calibri"/>
        <family val="2"/>
        <scheme val="minor"/>
      </rPr>
      <t>Ra-226</t>
    </r>
    <r>
      <rPr>
        <sz val="11"/>
        <color theme="1"/>
        <rFont val="Calibri"/>
        <family val="2"/>
        <scheme val="minor"/>
      </rPr>
      <t xml:space="preserve"> </t>
    </r>
    <r>
      <rPr>
        <i/>
        <sz val="11"/>
        <color theme="1"/>
        <rFont val="Calibri"/>
        <family val="2"/>
        <scheme val="minor"/>
      </rPr>
      <t xml:space="preserve">  (Ra-226, Po-218, Pb-214, Bi-214, Po-214, Pb-210, Bi-210, Po-210)</t>
    </r>
  </si>
  <si>
    <r>
      <rPr>
        <b/>
        <sz val="11"/>
        <color theme="1"/>
        <rFont val="Calibri"/>
        <family val="2"/>
        <scheme val="minor"/>
      </rPr>
      <t>Th-228 (W)</t>
    </r>
    <r>
      <rPr>
        <sz val="11"/>
        <color theme="1"/>
        <rFont val="Calibri"/>
        <family val="2"/>
        <scheme val="minor"/>
      </rPr>
      <t xml:space="preserve">  </t>
    </r>
    <r>
      <rPr>
        <i/>
        <sz val="11"/>
        <color theme="1"/>
        <rFont val="Calibri"/>
        <family val="2"/>
        <scheme val="minor"/>
      </rPr>
      <t>(Th-228, Ra-224, Po-216, Pb-212, Bi-212, Tl-208 (0.36), Po-212 (0.64))</t>
    </r>
  </si>
  <si>
    <r>
      <rPr>
        <b/>
        <sz val="11"/>
        <color theme="1"/>
        <rFont val="Calibri"/>
        <family val="2"/>
        <scheme val="minor"/>
      </rPr>
      <t>Th-230 (W)</t>
    </r>
    <r>
      <rPr>
        <sz val="11"/>
        <color theme="1"/>
        <rFont val="Calibri"/>
        <family val="2"/>
        <scheme val="minor"/>
      </rPr>
      <t xml:space="preserve">  </t>
    </r>
    <r>
      <rPr>
        <i/>
        <sz val="11"/>
        <color theme="1"/>
        <rFont val="Calibri"/>
        <family val="2"/>
        <scheme val="minor"/>
      </rPr>
      <t>(Th-230, Ra-226, Po-218, Pb-214, Bi-214, Po-214, Pb-210, Bi-210, Po-210)</t>
    </r>
  </si>
  <si>
    <r>
      <t>Th-</t>
    </r>
    <r>
      <rPr>
        <b/>
        <i/>
        <sz val="11"/>
        <color theme="1"/>
        <rFont val="Calibri"/>
        <family val="2"/>
        <scheme val="minor"/>
      </rPr>
      <t>Equilibrium</t>
    </r>
    <r>
      <rPr>
        <b/>
        <sz val="11"/>
        <color theme="1"/>
        <rFont val="Calibri"/>
        <family val="2"/>
        <scheme val="minor"/>
      </rPr>
      <t xml:space="preserve"> </t>
    </r>
    <r>
      <rPr>
        <i/>
        <sz val="11"/>
        <color theme="1"/>
        <rFont val="Calibri"/>
        <family val="2"/>
        <scheme val="minor"/>
      </rPr>
      <t>(Th-232 in equilibrium with Ra-228, Ac-228, Th-228, Ra-224, Po-216, Pb-212, Bi-212, Tl-208 (0.36), Po-212 (0.64))</t>
    </r>
  </si>
  <si>
    <r>
      <t>U-</t>
    </r>
    <r>
      <rPr>
        <b/>
        <i/>
        <sz val="11"/>
        <color theme="1"/>
        <rFont val="Calibri"/>
        <family val="2"/>
        <scheme val="minor"/>
      </rPr>
      <t>Equilibrium</t>
    </r>
    <r>
      <rPr>
        <b/>
        <sz val="11"/>
        <color theme="1"/>
        <rFont val="Calibri"/>
        <family val="2"/>
        <scheme val="minor"/>
      </rPr>
      <t xml:space="preserve"> (Y)</t>
    </r>
    <r>
      <rPr>
        <b/>
        <vertAlign val="superscript"/>
        <sz val="11"/>
        <color theme="1"/>
        <rFont val="Calibri"/>
        <family val="2"/>
        <scheme val="minor"/>
      </rPr>
      <t>2</t>
    </r>
    <r>
      <rPr>
        <b/>
        <sz val="11"/>
        <color theme="1"/>
        <rFont val="Calibri"/>
        <family val="2"/>
        <scheme val="minor"/>
      </rPr>
      <t xml:space="preserve">  </t>
    </r>
    <r>
      <rPr>
        <i/>
        <u/>
        <sz val="11"/>
        <color theme="1"/>
        <rFont val="Calibri"/>
        <family val="2"/>
        <scheme val="minor"/>
      </rPr>
      <t>U-238 chain (0.489)</t>
    </r>
    <r>
      <rPr>
        <b/>
        <sz val="11"/>
        <color theme="1"/>
        <rFont val="Calibri"/>
        <family val="2"/>
        <scheme val="minor"/>
      </rPr>
      <t xml:space="preserve">; </t>
    </r>
    <r>
      <rPr>
        <i/>
        <u/>
        <sz val="11"/>
        <color theme="1"/>
        <rFont val="Calibri"/>
        <family val="2"/>
        <scheme val="minor"/>
      </rPr>
      <t>U-234 (0.489)</t>
    </r>
    <r>
      <rPr>
        <b/>
        <sz val="11"/>
        <color theme="1"/>
        <rFont val="Calibri"/>
        <family val="2"/>
        <scheme val="minor"/>
      </rPr>
      <t xml:space="preserve">; </t>
    </r>
    <r>
      <rPr>
        <i/>
        <u/>
        <sz val="11"/>
        <color theme="1"/>
        <rFont val="Calibri"/>
        <family val="2"/>
        <scheme val="minor"/>
      </rPr>
      <t>Th-230 (0.489)</t>
    </r>
    <r>
      <rPr>
        <b/>
        <sz val="11"/>
        <color theme="1"/>
        <rFont val="Calibri"/>
        <family val="2"/>
        <scheme val="minor"/>
      </rPr>
      <t xml:space="preserve">, </t>
    </r>
    <r>
      <rPr>
        <i/>
        <u/>
        <sz val="11"/>
        <color theme="1"/>
        <rFont val="Calibri"/>
        <family val="2"/>
        <scheme val="minor"/>
      </rPr>
      <t>U-235 chain (0.022)</t>
    </r>
    <r>
      <rPr>
        <i/>
        <sz val="11"/>
        <color theme="1"/>
        <rFont val="Calibri"/>
        <family val="2"/>
        <scheme val="minor"/>
      </rPr>
      <t>:</t>
    </r>
    <r>
      <rPr>
        <b/>
        <sz val="11"/>
        <color theme="1"/>
        <rFont val="Calibri"/>
        <family val="2"/>
        <scheme val="minor"/>
      </rPr>
      <t xml:space="preserve"> </t>
    </r>
    <r>
      <rPr>
        <i/>
        <u/>
        <sz val="11"/>
        <color theme="1"/>
        <rFont val="Calibri"/>
        <family val="2"/>
        <scheme val="minor"/>
      </rPr>
      <t>(Ac-227, Ra-223, Po-215, Pb-211, Bi-211, and Tl-207 all at (0.022))</t>
    </r>
  </si>
  <si>
    <r>
      <rPr>
        <b/>
        <sz val="11"/>
        <color theme="1"/>
        <rFont val="Calibri"/>
        <family val="2"/>
        <scheme val="minor"/>
      </rPr>
      <t xml:space="preserve">U-238 (Y) </t>
    </r>
    <r>
      <rPr>
        <sz val="11"/>
        <color theme="1"/>
        <rFont val="Calibri"/>
        <family val="2"/>
        <scheme val="minor"/>
      </rPr>
      <t xml:space="preserve"> </t>
    </r>
    <r>
      <rPr>
        <i/>
        <sz val="11"/>
        <color theme="1"/>
        <rFont val="Calibri"/>
        <family val="2"/>
        <scheme val="minor"/>
      </rPr>
      <t>(U-238, Th-234, Pa-234m)</t>
    </r>
  </si>
  <si>
    <t>RADON PATHWAY TURNED OFF</t>
  </si>
  <si>
    <t>T &gt; 1579 years, impact to aquifer</t>
  </si>
  <si>
    <t>Proposed Concentration and Activities of TENORM Meeting 25mR/yr</t>
  </si>
  <si>
    <t>Derivation of Ingestion ALIs using Sum of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</si>
</sst>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0.0"/>
    <numFmt numFmtId="167" formatCode="0.0000E+00"/>
    <numFmt numFmtId="168" formatCode="0.0%"/>
    <numFmt numFmtId="169" formatCode="0.0000%"/>
  </numFmts>
  <fonts count="39"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sz val="11"/>
      <name val="Calibri"/>
      <family val="2"/>
      <scheme val="minor"/>
    </font>
    <font>
      <i/>
      <sz val="11"/>
      <color theme="1"/>
      <name val="Calibri"/>
      <family val="2"/>
      <scheme val="minor"/>
    </font>
    <font>
      <sz val="11"/>
      <color theme="5"/>
      <name val="Calibri"/>
      <family val="2"/>
      <scheme val="minor"/>
    </font>
    <font>
      <b/>
      <sz val="18"/>
      <color theme="3" tint="-0.249977111117893"/>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i/>
      <sz val="10"/>
      <color theme="1"/>
      <name val="Calibri"/>
      <family val="2"/>
      <scheme val="minor"/>
    </font>
    <font>
      <sz val="10"/>
      <color theme="1"/>
      <name val="Calibri"/>
      <family val="2"/>
      <scheme val="minor"/>
    </font>
    <font>
      <b/>
      <sz val="14"/>
      <color theme="1"/>
      <name val="Calibri"/>
      <family val="2"/>
      <scheme val="minor"/>
    </font>
    <font>
      <sz val="10"/>
      <name val="Calibri"/>
      <family val="2"/>
      <scheme val="minor"/>
    </font>
    <font>
      <sz val="11"/>
      <color theme="0"/>
      <name val="Calibri"/>
      <family val="2"/>
      <scheme val="minor"/>
    </font>
    <font>
      <vertAlign val="subscript"/>
      <sz val="11"/>
      <color theme="1"/>
      <name val="Calibri"/>
      <family val="2"/>
      <scheme val="minor"/>
    </font>
    <font>
      <b/>
      <vertAlign val="superscript"/>
      <sz val="11"/>
      <color rgb="FFFF0000"/>
      <name val="Calibri"/>
      <family val="2"/>
      <scheme val="minor"/>
    </font>
    <font>
      <i/>
      <u/>
      <sz val="11"/>
      <color theme="1"/>
      <name val="Calibri"/>
      <family val="2"/>
      <scheme val="minor"/>
    </font>
    <font>
      <b/>
      <sz val="11"/>
      <color theme="0"/>
      <name val="Calibri"/>
      <family val="2"/>
      <scheme val="minor"/>
    </font>
    <font>
      <b/>
      <sz val="12"/>
      <color theme="4" tint="-0.249977111117893"/>
      <name val="Calibri"/>
      <family val="2"/>
      <scheme val="minor"/>
    </font>
    <font>
      <i/>
      <sz val="9"/>
      <color theme="1"/>
      <name val="Calibri"/>
      <family val="2"/>
      <scheme val="minor"/>
    </font>
    <font>
      <sz val="11"/>
      <color theme="0" tint="-0.34998626667073579"/>
      <name val="Calibri"/>
      <family val="2"/>
      <scheme val="minor"/>
    </font>
    <font>
      <b/>
      <vertAlign val="superscript"/>
      <sz val="11"/>
      <color theme="1"/>
      <name val="Calibri"/>
      <family val="2"/>
      <scheme val="minor"/>
    </font>
    <font>
      <b/>
      <sz val="11"/>
      <color theme="3"/>
      <name val="Calibri"/>
      <family val="2"/>
      <scheme val="minor"/>
    </font>
    <font>
      <sz val="11"/>
      <color theme="0" tint="-0.14999847407452621"/>
      <name val="Calibri"/>
      <family val="2"/>
      <scheme val="minor"/>
    </font>
    <font>
      <b/>
      <i/>
      <sz val="11"/>
      <color theme="1"/>
      <name val="Calibri"/>
      <family val="2"/>
      <scheme val="minor"/>
    </font>
    <font>
      <b/>
      <i/>
      <sz val="10"/>
      <color theme="1"/>
      <name val="Calibri"/>
      <family val="2"/>
      <scheme val="minor"/>
    </font>
    <font>
      <i/>
      <vertAlign val="superscript"/>
      <sz val="10"/>
      <color theme="1"/>
      <name val="Calibri"/>
      <family val="2"/>
      <scheme val="minor"/>
    </font>
    <font>
      <sz val="8"/>
      <color theme="1"/>
      <name val="Calibri"/>
      <family val="2"/>
      <scheme val="minor"/>
    </font>
    <font>
      <b/>
      <sz val="11"/>
      <color theme="0" tint="-0.34998626667073579"/>
      <name val="Calibri"/>
      <family val="2"/>
      <scheme val="minor"/>
    </font>
    <font>
      <sz val="11"/>
      <color theme="0" tint="-0.249977111117893"/>
      <name val="Calibri"/>
      <family val="2"/>
      <scheme val="minor"/>
    </font>
    <font>
      <i/>
      <sz val="11"/>
      <name val="Calibri"/>
      <family val="2"/>
      <scheme val="minor"/>
    </font>
    <font>
      <i/>
      <sz val="11"/>
      <color theme="0" tint="-0.34998626667073579"/>
      <name val="Calibri"/>
      <family val="2"/>
      <scheme val="minor"/>
    </font>
    <font>
      <i/>
      <vertAlign val="superscript"/>
      <sz val="11"/>
      <color theme="1"/>
      <name val="Calibri"/>
      <family val="2"/>
      <scheme val="minor"/>
    </font>
    <font>
      <b/>
      <i/>
      <sz val="11"/>
      <color rgb="FFFF0000"/>
      <name val="Calibri"/>
      <family val="2"/>
      <scheme val="minor"/>
    </font>
    <font>
      <sz val="11"/>
      <color theme="0" tint="-0.499984740745262"/>
      <name val="Calibri"/>
      <family val="2"/>
      <scheme val="minor"/>
    </font>
    <font>
      <b/>
      <sz val="14"/>
      <color rgb="FFFF0000"/>
      <name val="Calibri"/>
      <family val="2"/>
      <scheme val="minor"/>
    </font>
    <font>
      <sz val="11"/>
      <color theme="5" tint="-0.249977111117893"/>
      <name val="Calibri"/>
      <family val="2"/>
      <scheme val="minor"/>
    </font>
    <font>
      <b/>
      <sz val="11"/>
      <color theme="5" tint="-0.249977111117893"/>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1"/>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2">
    <xf numFmtId="0" fontId="0" fillId="0" borderId="0" xfId="0"/>
    <xf numFmtId="0" fontId="0" fillId="0" borderId="0" xfId="0" applyAlignment="1">
      <alignment horizontal="center"/>
    </xf>
    <xf numFmtId="0" fontId="0" fillId="0" borderId="4" xfId="0" applyBorder="1"/>
    <xf numFmtId="0" fontId="0" fillId="0" borderId="6" xfId="0" applyBorder="1"/>
    <xf numFmtId="11" fontId="0" fillId="0" borderId="0" xfId="0" applyNumberFormat="1" applyBorder="1"/>
    <xf numFmtId="0" fontId="0" fillId="0" borderId="0" xfId="0" applyBorder="1"/>
    <xf numFmtId="164" fontId="0" fillId="0" borderId="0" xfId="0" applyNumberFormat="1" applyBorder="1" applyAlignment="1">
      <alignment horizontal="center"/>
    </xf>
    <xf numFmtId="0" fontId="0" fillId="4" borderId="1" xfId="0" applyFill="1" applyBorder="1" applyAlignment="1">
      <alignment horizontal="center" wrapText="1"/>
    </xf>
    <xf numFmtId="164" fontId="0" fillId="4" borderId="4" xfId="0" applyNumberFormat="1" applyFill="1" applyBorder="1" applyAlignment="1">
      <alignment horizontal="center"/>
    </xf>
    <xf numFmtId="164" fontId="0" fillId="4" borderId="5" xfId="0" applyNumberFormat="1" applyFill="1" applyBorder="1" applyAlignment="1">
      <alignment horizontal="center"/>
    </xf>
    <xf numFmtId="164" fontId="0" fillId="4" borderId="7" xfId="0" applyNumberFormat="1" applyFill="1" applyBorder="1" applyAlignment="1">
      <alignment horizontal="center"/>
    </xf>
    <xf numFmtId="0" fontId="0" fillId="5" borderId="1" xfId="0" applyFill="1" applyBorder="1" applyAlignment="1">
      <alignment horizontal="center" wrapText="1"/>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5" borderId="7" xfId="0" applyNumberFormat="1" applyFill="1" applyBorder="1" applyAlignment="1">
      <alignment horizontal="center"/>
    </xf>
    <xf numFmtId="0" fontId="0" fillId="6" borderId="10" xfId="0" applyFill="1" applyBorder="1" applyAlignment="1">
      <alignment horizontal="center" vertical="center" wrapText="1"/>
    </xf>
    <xf numFmtId="0" fontId="0" fillId="6" borderId="1" xfId="0" applyFill="1" applyBorder="1" applyAlignment="1">
      <alignment horizontal="center" wrapText="1"/>
    </xf>
    <xf numFmtId="164" fontId="0" fillId="6" borderId="4" xfId="0" applyNumberFormat="1" applyFill="1" applyBorder="1" applyAlignment="1">
      <alignment horizontal="center"/>
    </xf>
    <xf numFmtId="164" fontId="0" fillId="6" borderId="5" xfId="0" applyNumberFormat="1" applyFill="1" applyBorder="1" applyAlignment="1">
      <alignment horizontal="center"/>
    </xf>
    <xf numFmtId="164" fontId="0" fillId="6" borderId="7" xfId="0" applyNumberFormat="1" applyFill="1" applyBorder="1" applyAlignment="1">
      <alignment horizontal="center"/>
    </xf>
    <xf numFmtId="0" fontId="0" fillId="6" borderId="1" xfId="0" applyFill="1" applyBorder="1" applyAlignment="1">
      <alignment horizontal="center" vertical="center" wrapText="1"/>
    </xf>
    <xf numFmtId="11" fontId="0" fillId="4" borderId="13" xfId="0" applyNumberFormat="1" applyFill="1" applyBorder="1" applyAlignment="1">
      <alignment horizontal="center"/>
    </xf>
    <xf numFmtId="11" fontId="0" fillId="4" borderId="5" xfId="0" applyNumberFormat="1" applyFill="1" applyBorder="1" applyAlignment="1">
      <alignment horizontal="center"/>
    </xf>
    <xf numFmtId="164" fontId="5" fillId="0" borderId="0" xfId="0" applyNumberFormat="1" applyFont="1" applyFill="1" applyBorder="1" applyAlignment="1">
      <alignment horizontal="center"/>
    </xf>
    <xf numFmtId="0" fontId="5" fillId="0" borderId="0" xfId="0" applyFont="1" applyFill="1"/>
    <xf numFmtId="165" fontId="0" fillId="0" borderId="0" xfId="0" applyNumberFormat="1" applyFill="1" applyBorder="1" applyAlignment="1">
      <alignment horizontal="center"/>
    </xf>
    <xf numFmtId="165" fontId="0" fillId="0" borderId="11"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xf numFmtId="0" fontId="0" fillId="5" borderId="4" xfId="0" applyFill="1" applyBorder="1"/>
    <xf numFmtId="0" fontId="0" fillId="5" borderId="0" xfId="0" applyFill="1" applyBorder="1" applyAlignment="1">
      <alignment horizontal="center"/>
    </xf>
    <xf numFmtId="0" fontId="0" fillId="5" borderId="6" xfId="0" applyFill="1" applyBorder="1"/>
    <xf numFmtId="0" fontId="0" fillId="5" borderId="11" xfId="0" applyFill="1" applyBorder="1" applyAlignment="1">
      <alignment horizontal="center"/>
    </xf>
    <xf numFmtId="0" fontId="0" fillId="0" borderId="0" xfId="0" applyFill="1" applyBorder="1" applyAlignment="1">
      <alignment horizontal="center" wrapText="1"/>
    </xf>
    <xf numFmtId="0" fontId="0" fillId="0" borderId="0" xfId="0" applyFill="1" applyBorder="1"/>
    <xf numFmtId="0" fontId="0" fillId="0" borderId="2" xfId="0" applyBorder="1"/>
    <xf numFmtId="0" fontId="4" fillId="0" borderId="12" xfId="0" applyFont="1" applyBorder="1" applyAlignment="1">
      <alignment horizontal="center"/>
    </xf>
    <xf numFmtId="0" fontId="0" fillId="0" borderId="12" xfId="0" applyBorder="1"/>
    <xf numFmtId="0" fontId="0" fillId="4" borderId="4" xfId="0" applyFill="1" applyBorder="1"/>
    <xf numFmtId="0" fontId="0" fillId="4" borderId="0" xfId="0" applyFill="1" applyBorder="1" applyAlignment="1">
      <alignment horizontal="center"/>
    </xf>
    <xf numFmtId="0" fontId="0" fillId="4" borderId="6" xfId="0" applyFill="1" applyBorder="1"/>
    <xf numFmtId="0" fontId="0" fillId="4" borderId="11" xfId="0" applyFill="1" applyBorder="1" applyAlignment="1">
      <alignment horizontal="center"/>
    </xf>
    <xf numFmtId="166" fontId="0" fillId="4" borderId="4" xfId="0" applyNumberFormat="1" applyFill="1" applyBorder="1" applyAlignment="1">
      <alignment horizontal="center"/>
    </xf>
    <xf numFmtId="166" fontId="0" fillId="5" borderId="4" xfId="0" applyNumberFormat="1" applyFill="1" applyBorder="1" applyAlignment="1">
      <alignment horizontal="center"/>
    </xf>
    <xf numFmtId="166" fontId="0" fillId="5" borderId="5" xfId="0" applyNumberFormat="1" applyFill="1" applyBorder="1" applyAlignment="1">
      <alignment horizontal="center"/>
    </xf>
    <xf numFmtId="166" fontId="0" fillId="6" borderId="4" xfId="0" applyNumberFormat="1" applyFill="1" applyBorder="1" applyAlignment="1">
      <alignment horizontal="center"/>
    </xf>
    <xf numFmtId="166" fontId="0" fillId="6" borderId="5" xfId="0" applyNumberFormat="1" applyFill="1" applyBorder="1" applyAlignment="1">
      <alignment horizontal="center"/>
    </xf>
    <xf numFmtId="166" fontId="0" fillId="6" borderId="6" xfId="0" applyNumberFormat="1" applyFill="1" applyBorder="1" applyAlignment="1">
      <alignment horizontal="center"/>
    </xf>
    <xf numFmtId="166" fontId="0" fillId="5" borderId="6" xfId="0" applyNumberFormat="1" applyFill="1" applyBorder="1" applyAlignment="1">
      <alignment horizontal="center"/>
    </xf>
    <xf numFmtId="166" fontId="0" fillId="4" borderId="5" xfId="0" applyNumberFormat="1" applyFill="1" applyBorder="1" applyAlignment="1">
      <alignment horizontal="center"/>
    </xf>
    <xf numFmtId="166" fontId="0" fillId="4" borderId="6" xfId="0" applyNumberFormat="1" applyFill="1" applyBorder="1" applyAlignment="1">
      <alignment horizontal="center"/>
    </xf>
    <xf numFmtId="0" fontId="0" fillId="0" borderId="5" xfId="0" applyBorder="1"/>
    <xf numFmtId="0" fontId="5" fillId="0" borderId="0" xfId="0" applyFont="1" applyFill="1" applyBorder="1"/>
    <xf numFmtId="0" fontId="0" fillId="7" borderId="4" xfId="0" applyFill="1" applyBorder="1"/>
    <xf numFmtId="0" fontId="0" fillId="7" borderId="0" xfId="0" applyFill="1" applyBorder="1"/>
    <xf numFmtId="0" fontId="5" fillId="7" borderId="0" xfId="0" applyFont="1" applyFill="1" applyBorder="1"/>
    <xf numFmtId="11" fontId="0" fillId="6" borderId="13" xfId="0" applyNumberFormat="1" applyFill="1" applyBorder="1" applyAlignment="1">
      <alignment horizontal="center"/>
    </xf>
    <xf numFmtId="11" fontId="0" fillId="6" borderId="14" xfId="0" applyNumberFormat="1" applyFill="1" applyBorder="1" applyAlignment="1">
      <alignment horizontal="center"/>
    </xf>
    <xf numFmtId="11" fontId="0" fillId="5" borderId="13" xfId="0" applyNumberFormat="1" applyFill="1" applyBorder="1" applyAlignment="1">
      <alignment horizontal="center"/>
    </xf>
    <xf numFmtId="11" fontId="0" fillId="5" borderId="14" xfId="0" applyNumberFormat="1" applyFill="1" applyBorder="1" applyAlignment="1">
      <alignment horizontal="center"/>
    </xf>
    <xf numFmtId="11" fontId="9" fillId="6" borderId="13" xfId="0" applyNumberFormat="1" applyFont="1" applyFill="1" applyBorder="1" applyAlignment="1">
      <alignment horizontal="center"/>
    </xf>
    <xf numFmtId="11" fontId="9" fillId="5" borderId="13" xfId="0" applyNumberFormat="1" applyFont="1" applyFill="1" applyBorder="1" applyAlignment="1">
      <alignment horizontal="center"/>
    </xf>
    <xf numFmtId="11" fontId="0" fillId="6" borderId="15" xfId="0" applyNumberFormat="1" applyFill="1" applyBorder="1" applyAlignment="1">
      <alignment horizontal="center"/>
    </xf>
    <xf numFmtId="11" fontId="0" fillId="5" borderId="15" xfId="0" applyNumberFormat="1" applyFill="1" applyBorder="1" applyAlignment="1">
      <alignment horizontal="center"/>
    </xf>
    <xf numFmtId="11" fontId="9" fillId="4" borderId="5" xfId="0" applyNumberFormat="1" applyFont="1" applyFill="1" applyBorder="1" applyAlignment="1">
      <alignment horizontal="center"/>
    </xf>
    <xf numFmtId="0" fontId="0" fillId="0" borderId="0" xfId="0" applyFill="1" applyBorder="1" applyAlignment="1">
      <alignment horizontal="center"/>
    </xf>
    <xf numFmtId="11" fontId="9" fillId="6" borderId="14" xfId="0" applyNumberFormat="1" applyFont="1" applyFill="1" applyBorder="1" applyAlignment="1">
      <alignment horizontal="center"/>
    </xf>
    <xf numFmtId="11" fontId="9" fillId="5" borderId="14" xfId="0" applyNumberFormat="1" applyFont="1" applyFill="1" applyBorder="1" applyAlignment="1">
      <alignment horizontal="center"/>
    </xf>
    <xf numFmtId="0" fontId="0" fillId="6" borderId="10" xfId="0" applyFill="1" applyBorder="1" applyAlignment="1">
      <alignment horizontal="center" wrapText="1"/>
    </xf>
    <xf numFmtId="0" fontId="0" fillId="0" borderId="0" xfId="0" applyBorder="1" applyAlignment="1">
      <alignment horizontal="center"/>
    </xf>
    <xf numFmtId="0" fontId="0" fillId="0" borderId="11" xfId="0" applyBorder="1" applyAlignment="1">
      <alignment horizontal="center"/>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0" xfId="0" applyAlignment="1">
      <alignment horizontal="center"/>
    </xf>
    <xf numFmtId="0" fontId="0" fillId="0" borderId="11" xfId="0" applyBorder="1" applyAlignment="1">
      <alignment horizontal="center"/>
    </xf>
    <xf numFmtId="0" fontId="0" fillId="0" borderId="0" xfId="0" applyBorder="1" applyAlignment="1">
      <alignment horizontal="center"/>
    </xf>
    <xf numFmtId="0" fontId="11" fillId="0" borderId="0" xfId="0" applyFont="1" applyAlignment="1">
      <alignment horizontal="center" wrapText="1"/>
    </xf>
    <xf numFmtId="167" fontId="0" fillId="0" borderId="0" xfId="0" applyNumberFormat="1"/>
    <xf numFmtId="0" fontId="11" fillId="0" borderId="0" xfId="0" applyFont="1" applyBorder="1" applyAlignment="1">
      <alignment horizontal="center"/>
    </xf>
    <xf numFmtId="0" fontId="10" fillId="3" borderId="0" xfId="0" applyFont="1" applyFill="1" applyAlignment="1">
      <alignment horizontal="center" wrapText="1"/>
    </xf>
    <xf numFmtId="0" fontId="10" fillId="3" borderId="1" xfId="0" applyFont="1" applyFill="1" applyBorder="1" applyAlignment="1">
      <alignment horizontal="center" wrapText="1"/>
    </xf>
    <xf numFmtId="0" fontId="0" fillId="2" borderId="1" xfId="0" applyFill="1" applyBorder="1" applyAlignment="1">
      <alignment horizontal="center"/>
    </xf>
    <xf numFmtId="11" fontId="0" fillId="6" borderId="5" xfId="0" applyNumberFormat="1" applyFill="1" applyBorder="1" applyAlignment="1">
      <alignment horizontal="center"/>
    </xf>
    <xf numFmtId="11" fontId="0" fillId="6" borderId="7" xfId="0" applyNumberFormat="1" applyFill="1" applyBorder="1" applyAlignment="1">
      <alignment horizontal="center"/>
    </xf>
    <xf numFmtId="0" fontId="0" fillId="9" borderId="1" xfId="0" applyFill="1" applyBorder="1" applyAlignment="1">
      <alignment horizontal="center" vertical="center" wrapText="1"/>
    </xf>
    <xf numFmtId="11" fontId="0" fillId="9" borderId="5" xfId="0" applyNumberFormat="1" applyFill="1" applyBorder="1" applyAlignment="1">
      <alignment horizontal="center"/>
    </xf>
    <xf numFmtId="0" fontId="0" fillId="6" borderId="8" xfId="0" applyFill="1" applyBorder="1" applyAlignment="1">
      <alignment horizontal="center" vertical="center" wrapText="1"/>
    </xf>
    <xf numFmtId="11" fontId="0" fillId="9" borderId="13" xfId="0" applyNumberFormat="1" applyFill="1" applyBorder="1" applyAlignment="1">
      <alignment horizontal="center"/>
    </xf>
    <xf numFmtId="11" fontId="9" fillId="9" borderId="13" xfId="0" applyNumberFormat="1" applyFont="1" applyFill="1" applyBorder="1" applyAlignment="1">
      <alignment horizontal="center"/>
    </xf>
    <xf numFmtId="11" fontId="9" fillId="9" borderId="4" xfId="0" applyNumberFormat="1" applyFont="1" applyFill="1" applyBorder="1" applyAlignment="1">
      <alignment horizontal="center"/>
    </xf>
    <xf numFmtId="0" fontId="0" fillId="6" borderId="3" xfId="0" applyFill="1" applyBorder="1" applyAlignment="1">
      <alignment horizontal="center" vertical="center" wrapText="1"/>
    </xf>
    <xf numFmtId="0" fontId="0" fillId="6" borderId="2" xfId="0" applyFill="1" applyBorder="1" applyAlignment="1">
      <alignment horizontal="center" vertical="center" wrapText="1"/>
    </xf>
    <xf numFmtId="11" fontId="9" fillId="6" borderId="0" xfId="0" applyNumberFormat="1" applyFont="1" applyFill="1" applyBorder="1" applyAlignment="1">
      <alignment horizontal="center"/>
    </xf>
    <xf numFmtId="11" fontId="9" fillId="6" borderId="5" xfId="0" applyNumberFormat="1" applyFont="1" applyFill="1" applyBorder="1" applyAlignment="1">
      <alignment horizontal="center"/>
    </xf>
    <xf numFmtId="167" fontId="0" fillId="9" borderId="15" xfId="0" applyNumberFormat="1" applyFill="1" applyBorder="1" applyAlignment="1">
      <alignment horizontal="center"/>
    </xf>
    <xf numFmtId="167" fontId="0" fillId="9" borderId="13" xfId="0" applyNumberFormat="1" applyFill="1" applyBorder="1" applyAlignment="1">
      <alignment horizontal="center"/>
    </xf>
    <xf numFmtId="167" fontId="0" fillId="9" borderId="14" xfId="0" applyNumberFormat="1" applyFill="1" applyBorder="1" applyAlignment="1">
      <alignment horizontal="center"/>
    </xf>
    <xf numFmtId="167" fontId="0" fillId="6" borderId="15" xfId="0" applyNumberFormat="1" applyFill="1" applyBorder="1" applyAlignment="1">
      <alignment horizontal="center"/>
    </xf>
    <xf numFmtId="167" fontId="0" fillId="6" borderId="13" xfId="0" applyNumberFormat="1" applyFill="1" applyBorder="1" applyAlignment="1">
      <alignment horizontal="center"/>
    </xf>
    <xf numFmtId="167" fontId="0" fillId="6" borderId="14" xfId="0" applyNumberFormat="1" applyFill="1" applyBorder="1" applyAlignment="1">
      <alignment horizontal="center"/>
    </xf>
    <xf numFmtId="0" fontId="0" fillId="9" borderId="15" xfId="0" applyFill="1" applyBorder="1" applyAlignment="1">
      <alignment horizontal="center" vertical="center" wrapText="1"/>
    </xf>
    <xf numFmtId="11" fontId="9" fillId="9" borderId="5" xfId="0" applyNumberFormat="1" applyFont="1" applyFill="1" applyBorder="1" applyAlignment="1">
      <alignment horizontal="center"/>
    </xf>
    <xf numFmtId="167" fontId="0" fillId="9" borderId="4" xfId="0" applyNumberFormat="1" applyFill="1" applyBorder="1" applyAlignment="1">
      <alignment horizontal="center"/>
    </xf>
    <xf numFmtId="0" fontId="11" fillId="0" borderId="15" xfId="0" applyFont="1" applyBorder="1" applyAlignment="1">
      <alignment horizontal="center" wrapText="1"/>
    </xf>
    <xf numFmtId="0" fontId="11" fillId="0" borderId="15" xfId="0" applyFont="1" applyBorder="1" applyAlignment="1">
      <alignment horizontal="center"/>
    </xf>
    <xf numFmtId="0" fontId="11" fillId="0" borderId="2" xfId="0" applyFont="1" applyBorder="1" applyAlignment="1">
      <alignment horizontal="center" wrapText="1"/>
    </xf>
    <xf numFmtId="167" fontId="0" fillId="6" borderId="2" xfId="0" applyNumberFormat="1" applyFill="1" applyBorder="1" applyAlignment="1">
      <alignment horizontal="center"/>
    </xf>
    <xf numFmtId="167" fontId="0" fillId="6" borderId="3" xfId="0" applyNumberFormat="1" applyFill="1" applyBorder="1" applyAlignment="1">
      <alignment horizontal="center"/>
    </xf>
    <xf numFmtId="167" fontId="0" fillId="6" borderId="4" xfId="0" applyNumberFormat="1" applyFill="1" applyBorder="1" applyAlignment="1">
      <alignment horizontal="center"/>
    </xf>
    <xf numFmtId="167" fontId="0" fillId="6" borderId="5" xfId="0" applyNumberFormat="1" applyFill="1" applyBorder="1" applyAlignment="1">
      <alignment horizontal="center"/>
    </xf>
    <xf numFmtId="167" fontId="0" fillId="6" borderId="6" xfId="0" applyNumberFormat="1" applyFill="1" applyBorder="1" applyAlignment="1">
      <alignment horizontal="center"/>
    </xf>
    <xf numFmtId="167" fontId="0" fillId="6" borderId="7" xfId="0" applyNumberFormat="1" applyFill="1" applyBorder="1" applyAlignment="1">
      <alignment horizontal="center"/>
    </xf>
    <xf numFmtId="167" fontId="0" fillId="4" borderId="5" xfId="0" applyNumberFormat="1" applyFill="1" applyBorder="1" applyAlignment="1">
      <alignment horizontal="center"/>
    </xf>
    <xf numFmtId="167" fontId="0" fillId="4" borderId="7" xfId="0" applyNumberFormat="1" applyFill="1" applyBorder="1" applyAlignment="1">
      <alignment horizontal="center"/>
    </xf>
    <xf numFmtId="167" fontId="0" fillId="5" borderId="2" xfId="0" applyNumberFormat="1" applyFill="1" applyBorder="1" applyAlignment="1">
      <alignment horizontal="center"/>
    </xf>
    <xf numFmtId="167" fontId="0" fillId="5" borderId="3" xfId="0" applyNumberFormat="1" applyFill="1" applyBorder="1" applyAlignment="1">
      <alignment horizontal="center"/>
    </xf>
    <xf numFmtId="167" fontId="0" fillId="5" borderId="4" xfId="0" applyNumberFormat="1" applyFill="1" applyBorder="1" applyAlignment="1">
      <alignment horizontal="center"/>
    </xf>
    <xf numFmtId="167" fontId="0" fillId="5" borderId="5" xfId="0" applyNumberFormat="1" applyFill="1" applyBorder="1" applyAlignment="1">
      <alignment horizontal="center"/>
    </xf>
    <xf numFmtId="167" fontId="0" fillId="5" borderId="6" xfId="0" applyNumberFormat="1" applyFill="1" applyBorder="1" applyAlignment="1">
      <alignment horizontal="center"/>
    </xf>
    <xf numFmtId="167" fontId="0" fillId="5" borderId="7" xfId="0" applyNumberFormat="1" applyFill="1" applyBorder="1" applyAlignment="1">
      <alignment horizontal="center"/>
    </xf>
    <xf numFmtId="167" fontId="0" fillId="4" borderId="2" xfId="0" applyNumberFormat="1" applyFill="1" applyBorder="1" applyAlignment="1">
      <alignment horizontal="center"/>
    </xf>
    <xf numFmtId="167" fontId="0" fillId="4" borderId="3" xfId="0" applyNumberFormat="1" applyFill="1" applyBorder="1" applyAlignment="1">
      <alignment horizontal="center"/>
    </xf>
    <xf numFmtId="167" fontId="0" fillId="4" borderId="4" xfId="0" applyNumberFormat="1" applyFill="1" applyBorder="1" applyAlignment="1">
      <alignment horizontal="center"/>
    </xf>
    <xf numFmtId="167" fontId="0" fillId="4" borderId="6" xfId="0" applyNumberFormat="1" applyFill="1" applyBorder="1" applyAlignment="1">
      <alignment horizontal="center"/>
    </xf>
    <xf numFmtId="0" fontId="1" fillId="0" borderId="0" xfId="0" applyFont="1" applyFill="1" applyBorder="1" applyAlignment="1"/>
    <xf numFmtId="0" fontId="13" fillId="0" borderId="15" xfId="0" applyFont="1" applyBorder="1" applyAlignment="1">
      <alignment horizontal="center"/>
    </xf>
    <xf numFmtId="0" fontId="11" fillId="0" borderId="3" xfId="0" applyFont="1" applyBorder="1" applyAlignment="1">
      <alignment horizontal="center" wrapText="1"/>
    </xf>
    <xf numFmtId="0" fontId="11" fillId="0" borderId="8" xfId="0" applyFont="1" applyBorder="1" applyAlignment="1">
      <alignment horizontal="center" wrapText="1"/>
    </xf>
    <xf numFmtId="167" fontId="0" fillId="0" borderId="4" xfId="0" applyNumberFormat="1" applyBorder="1" applyAlignment="1">
      <alignment horizontal="center"/>
    </xf>
    <xf numFmtId="167" fontId="0" fillId="0" borderId="13" xfId="0" applyNumberFormat="1" applyBorder="1" applyAlignment="1">
      <alignment horizontal="center"/>
    </xf>
    <xf numFmtId="167" fontId="0" fillId="0" borderId="12" xfId="0" applyNumberFormat="1" applyBorder="1" applyAlignment="1">
      <alignment horizontal="center"/>
    </xf>
    <xf numFmtId="167" fontId="0" fillId="0" borderId="2" xfId="0" applyNumberFormat="1" applyBorder="1" applyAlignment="1">
      <alignment horizontal="center"/>
    </xf>
    <xf numFmtId="167" fontId="9" fillId="0" borderId="13" xfId="0" applyNumberFormat="1" applyFont="1" applyBorder="1" applyAlignment="1">
      <alignment horizontal="center"/>
    </xf>
    <xf numFmtId="167" fontId="0" fillId="0" borderId="0" xfId="0" applyNumberFormat="1" applyBorder="1" applyAlignment="1">
      <alignment horizontal="center"/>
    </xf>
    <xf numFmtId="167" fontId="0" fillId="0" borderId="6" xfId="0" applyNumberFormat="1" applyBorder="1" applyAlignment="1">
      <alignment horizontal="center"/>
    </xf>
    <xf numFmtId="167" fontId="0" fillId="0" borderId="14" xfId="0" applyNumberFormat="1" applyBorder="1" applyAlignment="1">
      <alignment horizontal="center"/>
    </xf>
    <xf numFmtId="167" fontId="0" fillId="0" borderId="11" xfId="0" applyNumberFormat="1" applyBorder="1" applyAlignment="1">
      <alignment horizontal="center"/>
    </xf>
    <xf numFmtId="167" fontId="9" fillId="0" borderId="14" xfId="0" applyNumberFormat="1" applyFont="1" applyBorder="1" applyAlignment="1">
      <alignment horizontal="center"/>
    </xf>
    <xf numFmtId="11" fontId="0" fillId="0" borderId="0" xfId="0" applyNumberFormat="1" applyBorder="1" applyAlignment="1">
      <alignment horizontal="center"/>
    </xf>
    <xf numFmtId="0" fontId="0" fillId="0" borderId="15" xfId="0"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0" fontId="9" fillId="0" borderId="15" xfId="0" applyFont="1" applyFill="1" applyBorder="1" applyAlignment="1">
      <alignment horizontal="center"/>
    </xf>
    <xf numFmtId="0" fontId="3" fillId="3" borderId="1" xfId="0" applyFont="1" applyFill="1" applyBorder="1" applyAlignment="1">
      <alignment horizontal="center"/>
    </xf>
    <xf numFmtId="0" fontId="0" fillId="0" borderId="5" xfId="0" applyBorder="1" applyAlignment="1">
      <alignment horizontal="center" wrapText="1"/>
    </xf>
    <xf numFmtId="11" fontId="9" fillId="8" borderId="5" xfId="0" applyNumberFormat="1" applyFont="1" applyFill="1" applyBorder="1" applyAlignment="1">
      <alignment horizontal="center"/>
    </xf>
    <xf numFmtId="0" fontId="9" fillId="8" borderId="5" xfId="0" applyFont="1" applyFill="1" applyBorder="1" applyAlignment="1">
      <alignment horizontal="center"/>
    </xf>
    <xf numFmtId="11" fontId="9" fillId="8" borderId="7" xfId="0" applyNumberFormat="1" applyFont="1" applyFill="1" applyBorder="1" applyAlignment="1">
      <alignment horizontal="center"/>
    </xf>
    <xf numFmtId="0" fontId="4" fillId="0" borderId="1" xfId="0" applyFont="1" applyFill="1" applyBorder="1" applyAlignment="1">
      <alignment horizontal="center" wrapText="1"/>
    </xf>
    <xf numFmtId="0" fontId="1" fillId="3" borderId="1" xfId="0" applyFont="1" applyFill="1" applyBorder="1" applyAlignment="1">
      <alignment horizontal="center"/>
    </xf>
    <xf numFmtId="11" fontId="0" fillId="0" borderId="0" xfId="0" applyNumberFormat="1"/>
    <xf numFmtId="0" fontId="11" fillId="0" borderId="0" xfId="0" applyFont="1" applyBorder="1" applyAlignment="1">
      <alignment horizontal="center" wrapText="1"/>
    </xf>
    <xf numFmtId="0" fontId="3" fillId="3" borderId="14" xfId="0" applyFont="1" applyFill="1" applyBorder="1" applyAlignment="1">
      <alignment horizontal="center"/>
    </xf>
    <xf numFmtId="11" fontId="9" fillId="9" borderId="0" xfId="0" applyNumberFormat="1" applyFont="1" applyFill="1" applyBorder="1" applyAlignment="1">
      <alignment horizontal="center"/>
    </xf>
    <xf numFmtId="0" fontId="3" fillId="3" borderId="13" xfId="0" applyFont="1" applyFill="1" applyBorder="1" applyAlignment="1">
      <alignment horizontal="center"/>
    </xf>
    <xf numFmtId="167" fontId="0" fillId="9" borderId="1" xfId="0" applyNumberFormat="1" applyFill="1" applyBorder="1" applyAlignment="1">
      <alignment horizontal="center"/>
    </xf>
    <xf numFmtId="11" fontId="0" fillId="9" borderId="1" xfId="0" applyNumberFormat="1" applyFill="1" applyBorder="1" applyAlignment="1">
      <alignment horizontal="center"/>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6" borderId="10" xfId="0" applyFill="1" applyBorder="1" applyAlignment="1">
      <alignment horizontal="center" wrapText="1"/>
    </xf>
    <xf numFmtId="0" fontId="0" fillId="5" borderId="10" xfId="0" applyFill="1" applyBorder="1" applyAlignment="1">
      <alignment horizontal="center" wrapText="1"/>
    </xf>
    <xf numFmtId="0" fontId="0" fillId="4" borderId="10" xfId="0" applyFill="1" applyBorder="1" applyAlignment="1">
      <alignment horizontal="center" wrapText="1"/>
    </xf>
    <xf numFmtId="0" fontId="8" fillId="0" borderId="11" xfId="0" applyFont="1" applyBorder="1" applyAlignment="1">
      <alignment horizontal="center"/>
    </xf>
    <xf numFmtId="0" fontId="0" fillId="0" borderId="0" xfId="0" applyAlignment="1">
      <alignment wrapText="1"/>
    </xf>
    <xf numFmtId="0" fontId="4" fillId="0" borderId="12" xfId="0" applyFont="1" applyBorder="1" applyAlignment="1">
      <alignment horizontal="center" wrapText="1"/>
    </xf>
    <xf numFmtId="0" fontId="9" fillId="0" borderId="0" xfId="0" applyFont="1" applyBorder="1" applyAlignment="1">
      <alignment horizontal="center"/>
    </xf>
    <xf numFmtId="0" fontId="9" fillId="0" borderId="11" xfId="0" applyFont="1" applyBorder="1" applyAlignment="1">
      <alignment horizontal="center"/>
    </xf>
    <xf numFmtId="0" fontId="3" fillId="0" borderId="0" xfId="0" applyFont="1" applyFill="1" applyBorder="1" applyAlignment="1">
      <alignment horizontal="center"/>
    </xf>
    <xf numFmtId="11" fontId="9" fillId="4" borderId="7" xfId="0" applyNumberFormat="1" applyFont="1" applyFill="1" applyBorder="1" applyAlignment="1">
      <alignment horizontal="center"/>
    </xf>
    <xf numFmtId="0" fontId="1" fillId="2" borderId="0" xfId="0" applyFont="1" applyFill="1" applyBorder="1" applyAlignment="1">
      <alignment horizontal="center"/>
    </xf>
    <xf numFmtId="0" fontId="0" fillId="4" borderId="14" xfId="0" applyFill="1" applyBorder="1" applyAlignment="1">
      <alignment horizontal="center" vertical="center" wrapText="1"/>
    </xf>
    <xf numFmtId="0" fontId="0" fillId="4" borderId="7" xfId="0" applyFill="1" applyBorder="1" applyAlignment="1">
      <alignment horizontal="center" wrapText="1"/>
    </xf>
    <xf numFmtId="0" fontId="0" fillId="4" borderId="7" xfId="0" applyFill="1" applyBorder="1" applyAlignment="1">
      <alignment horizontal="center" vertical="center" wrapText="1"/>
    </xf>
    <xf numFmtId="0" fontId="0" fillId="4" borderId="14" xfId="0" applyFill="1" applyBorder="1" applyAlignment="1">
      <alignment horizontal="center" wrapText="1"/>
    </xf>
    <xf numFmtId="11" fontId="9" fillId="4" borderId="13" xfId="0" applyNumberFormat="1" applyFont="1" applyFill="1" applyBorder="1" applyAlignment="1">
      <alignment horizontal="center"/>
    </xf>
    <xf numFmtId="11" fontId="0" fillId="4" borderId="14" xfId="0" applyNumberFormat="1" applyFill="1" applyBorder="1" applyAlignment="1">
      <alignment horizontal="center"/>
    </xf>
    <xf numFmtId="0" fontId="9" fillId="4" borderId="0" xfId="0" applyFont="1" applyFill="1" applyBorder="1" applyAlignment="1">
      <alignment horizontal="center"/>
    </xf>
    <xf numFmtId="0" fontId="0" fillId="5" borderId="14" xfId="0" applyFill="1" applyBorder="1" applyAlignment="1">
      <alignment horizontal="center" vertical="center" wrapText="1"/>
    </xf>
    <xf numFmtId="0" fontId="0" fillId="5" borderId="7" xfId="0" applyFill="1" applyBorder="1" applyAlignment="1">
      <alignment horizontal="center" wrapText="1"/>
    </xf>
    <xf numFmtId="0" fontId="0" fillId="5" borderId="7" xfId="0" applyFill="1" applyBorder="1" applyAlignment="1">
      <alignment horizontal="center" vertical="center" wrapText="1"/>
    </xf>
    <xf numFmtId="0" fontId="0" fillId="5" borderId="14" xfId="0" applyFill="1" applyBorder="1" applyAlignment="1">
      <alignment horizontal="center" wrapText="1"/>
    </xf>
    <xf numFmtId="0" fontId="0" fillId="6" borderId="14" xfId="0" applyFill="1" applyBorder="1" applyAlignment="1">
      <alignment horizontal="center" vertical="center" wrapText="1"/>
    </xf>
    <xf numFmtId="0" fontId="0" fillId="6" borderId="7" xfId="0" applyFill="1" applyBorder="1" applyAlignment="1">
      <alignment horizontal="center" wrapText="1"/>
    </xf>
    <xf numFmtId="0" fontId="0" fillId="6" borderId="7" xfId="0" applyFill="1" applyBorder="1" applyAlignment="1">
      <alignment horizontal="center" vertical="center" wrapText="1"/>
    </xf>
    <xf numFmtId="0" fontId="0" fillId="6" borderId="14" xfId="0" applyFill="1" applyBorder="1" applyAlignment="1">
      <alignment horizontal="center" wrapText="1"/>
    </xf>
    <xf numFmtId="0" fontId="7" fillId="3" borderId="0" xfId="0" applyFont="1" applyFill="1" applyBorder="1" applyAlignment="1">
      <alignment horizontal="center"/>
    </xf>
    <xf numFmtId="0" fontId="4" fillId="4" borderId="4" xfId="0" applyFont="1" applyFill="1" applyBorder="1"/>
    <xf numFmtId="11" fontId="14" fillId="6" borderId="13" xfId="0" applyNumberFormat="1" applyFont="1" applyFill="1" applyBorder="1" applyAlignment="1">
      <alignment horizontal="center"/>
    </xf>
    <xf numFmtId="11" fontId="14" fillId="6" borderId="14" xfId="0" applyNumberFormat="1" applyFont="1" applyFill="1" applyBorder="1" applyAlignment="1">
      <alignment horizontal="center"/>
    </xf>
    <xf numFmtId="0" fontId="0" fillId="3" borderId="0" xfId="0" applyFill="1" applyBorder="1" applyAlignment="1">
      <alignment horizontal="center"/>
    </xf>
    <xf numFmtId="11" fontId="14" fillId="4" borderId="13" xfId="0" applyNumberFormat="1" applyFont="1" applyFill="1" applyBorder="1" applyAlignment="1">
      <alignment horizontal="center"/>
    </xf>
    <xf numFmtId="11" fontId="14" fillId="4" borderId="5" xfId="0" applyNumberFormat="1" applyFont="1" applyFill="1" applyBorder="1" applyAlignment="1">
      <alignment horizontal="center"/>
    </xf>
    <xf numFmtId="11" fontId="14" fillId="4" borderId="14" xfId="0" applyNumberFormat="1" applyFont="1" applyFill="1" applyBorder="1" applyAlignment="1">
      <alignment horizontal="center"/>
    </xf>
    <xf numFmtId="11" fontId="14" fillId="4" borderId="7" xfId="0" applyNumberFormat="1" applyFont="1" applyFill="1" applyBorder="1" applyAlignment="1">
      <alignment horizontal="center"/>
    </xf>
    <xf numFmtId="11" fontId="14" fillId="5" borderId="15" xfId="0" applyNumberFormat="1" applyFont="1" applyFill="1" applyBorder="1" applyAlignment="1">
      <alignment horizontal="center"/>
    </xf>
    <xf numFmtId="11" fontId="14" fillId="5" borderId="13" xfId="0" applyNumberFormat="1" applyFont="1" applyFill="1" applyBorder="1" applyAlignment="1">
      <alignment horizontal="center"/>
    </xf>
    <xf numFmtId="11" fontId="14" fillId="5" borderId="14" xfId="0" applyNumberFormat="1" applyFont="1" applyFill="1" applyBorder="1" applyAlignment="1">
      <alignment horizontal="center"/>
    </xf>
    <xf numFmtId="0" fontId="0" fillId="0" borderId="0" xfId="0" applyAlignment="1"/>
    <xf numFmtId="0" fontId="1" fillId="0" borderId="0" xfId="0" applyFont="1" applyFill="1" applyBorder="1" applyAlignment="1">
      <alignment horizontal="center"/>
    </xf>
    <xf numFmtId="0" fontId="0" fillId="0" borderId="0" xfId="0" applyBorder="1" applyAlignment="1">
      <alignment horizontal="center"/>
    </xf>
    <xf numFmtId="0" fontId="8" fillId="3" borderId="0" xfId="0" applyFont="1" applyFill="1" applyBorder="1" applyAlignment="1">
      <alignment horizontal="center"/>
    </xf>
    <xf numFmtId="0" fontId="9" fillId="0" borderId="0" xfId="0" applyFont="1" applyFill="1" applyBorder="1" applyAlignment="1">
      <alignment horizontal="center"/>
    </xf>
    <xf numFmtId="0" fontId="3" fillId="0" borderId="11" xfId="0" applyFont="1" applyFill="1" applyBorder="1" applyAlignment="1">
      <alignment horizontal="center"/>
    </xf>
    <xf numFmtId="0" fontId="0" fillId="0" borderId="0" xfId="0" applyAlignment="1">
      <alignment horizontal="left"/>
    </xf>
    <xf numFmtId="0" fontId="0" fillId="0" borderId="0" xfId="0" applyBorder="1" applyAlignment="1">
      <alignment horizontal="center"/>
    </xf>
    <xf numFmtId="165" fontId="9" fillId="5" borderId="4" xfId="0" applyNumberFormat="1" applyFont="1" applyFill="1" applyBorder="1" applyAlignment="1">
      <alignment horizontal="left"/>
    </xf>
    <xf numFmtId="165" fontId="9" fillId="4" borderId="4" xfId="0" applyNumberFormat="1" applyFont="1" applyFill="1" applyBorder="1" applyAlignment="1">
      <alignment horizontal="left"/>
    </xf>
    <xf numFmtId="164" fontId="7" fillId="3" borderId="0" xfId="0" applyNumberFormat="1" applyFont="1" applyFill="1" applyBorder="1" applyAlignment="1">
      <alignment horizontal="center"/>
    </xf>
    <xf numFmtId="0" fontId="1" fillId="0" borderId="0" xfId="0" applyFont="1" applyAlignment="1">
      <alignment horizontal="center"/>
    </xf>
    <xf numFmtId="0" fontId="8" fillId="3" borderId="13" xfId="0" applyFont="1" applyFill="1" applyBorder="1" applyAlignment="1">
      <alignment horizontal="center"/>
    </xf>
    <xf numFmtId="11" fontId="14" fillId="9" borderId="5" xfId="0" applyNumberFormat="1" applyFont="1" applyFill="1" applyBorder="1" applyAlignment="1">
      <alignment horizontal="center"/>
    </xf>
    <xf numFmtId="11" fontId="14" fillId="6" borderId="0" xfId="0" applyNumberFormat="1" applyFont="1" applyFill="1" applyBorder="1" applyAlignment="1">
      <alignment horizontal="center"/>
    </xf>
    <xf numFmtId="11" fontId="14" fillId="9" borderId="0" xfId="0" applyNumberFormat="1" applyFont="1" applyFill="1" applyBorder="1" applyAlignment="1">
      <alignment horizontal="center"/>
    </xf>
    <xf numFmtId="11" fontId="14" fillId="6" borderId="12" xfId="0" applyNumberFormat="1" applyFont="1" applyFill="1" applyBorder="1" applyAlignment="1">
      <alignment horizontal="center"/>
    </xf>
    <xf numFmtId="11" fontId="14" fillId="9" borderId="3" xfId="0" applyNumberFormat="1" applyFont="1" applyFill="1" applyBorder="1" applyAlignment="1">
      <alignment horizontal="center"/>
    </xf>
    <xf numFmtId="11" fontId="14" fillId="6" borderId="15" xfId="0" applyNumberFormat="1" applyFont="1" applyFill="1" applyBorder="1" applyAlignment="1">
      <alignment horizontal="center"/>
    </xf>
    <xf numFmtId="11" fontId="14" fillId="6" borderId="3" xfId="0" applyNumberFormat="1" applyFont="1" applyFill="1" applyBorder="1" applyAlignment="1">
      <alignment horizontal="center"/>
    </xf>
    <xf numFmtId="11" fontId="14" fillId="6" borderId="5" xfId="0" applyNumberFormat="1" applyFont="1" applyFill="1" applyBorder="1" applyAlignment="1">
      <alignment horizontal="center"/>
    </xf>
    <xf numFmtId="11" fontId="14" fillId="9" borderId="2" xfId="0" applyNumberFormat="1" applyFont="1" applyFill="1" applyBorder="1" applyAlignment="1">
      <alignment horizontal="center"/>
    </xf>
    <xf numFmtId="11" fontId="14" fillId="9" borderId="4" xfId="0" applyNumberFormat="1" applyFont="1" applyFill="1" applyBorder="1" applyAlignment="1">
      <alignment horizontal="center"/>
    </xf>
    <xf numFmtId="11" fontId="14" fillId="9" borderId="15" xfId="0" applyNumberFormat="1" applyFont="1" applyFill="1" applyBorder="1" applyAlignment="1">
      <alignment horizontal="center"/>
    </xf>
    <xf numFmtId="11" fontId="14" fillId="9" borderId="13" xfId="0" applyNumberFormat="1" applyFont="1" applyFill="1" applyBorder="1" applyAlignment="1">
      <alignment horizontal="center"/>
    </xf>
    <xf numFmtId="164" fontId="0" fillId="9" borderId="4" xfId="0" applyNumberFormat="1" applyFill="1" applyBorder="1" applyAlignment="1">
      <alignment horizontal="center"/>
    </xf>
    <xf numFmtId="164" fontId="0" fillId="9" borderId="5" xfId="0" applyNumberFormat="1" applyFill="1" applyBorder="1" applyAlignment="1">
      <alignment horizontal="center"/>
    </xf>
    <xf numFmtId="11" fontId="14" fillId="9" borderId="12" xfId="0" applyNumberFormat="1" applyFont="1" applyFill="1" applyBorder="1" applyAlignment="1">
      <alignment horizontal="center"/>
    </xf>
    <xf numFmtId="166" fontId="0" fillId="9" borderId="4" xfId="0" applyNumberFormat="1" applyFill="1" applyBorder="1" applyAlignment="1">
      <alignment horizontal="center"/>
    </xf>
    <xf numFmtId="166" fontId="0" fillId="9" borderId="5" xfId="0" applyNumberFormat="1" applyFill="1" applyBorder="1" applyAlignment="1">
      <alignment horizontal="center"/>
    </xf>
    <xf numFmtId="166" fontId="0" fillId="9" borderId="6" xfId="0" applyNumberFormat="1" applyFill="1" applyBorder="1" applyAlignment="1">
      <alignment horizontal="center"/>
    </xf>
    <xf numFmtId="164" fontId="0" fillId="9" borderId="7" xfId="0" applyNumberFormat="1" applyFill="1" applyBorder="1" applyAlignment="1">
      <alignment horizontal="center"/>
    </xf>
    <xf numFmtId="11" fontId="14" fillId="9" borderId="7" xfId="0" applyNumberFormat="1" applyFont="1" applyFill="1" applyBorder="1" applyAlignment="1">
      <alignment horizontal="center"/>
    </xf>
    <xf numFmtId="11" fontId="14" fillId="9" borderId="11" xfId="0" applyNumberFormat="1" applyFont="1" applyFill="1" applyBorder="1" applyAlignment="1">
      <alignment horizontal="center"/>
    </xf>
    <xf numFmtId="11" fontId="14" fillId="9" borderId="14" xfId="0" applyNumberFormat="1" applyFont="1" applyFill="1" applyBorder="1" applyAlignment="1">
      <alignment horizontal="center"/>
    </xf>
    <xf numFmtId="11" fontId="14" fillId="9" borderId="6" xfId="0" applyNumberFormat="1" applyFont="1" applyFill="1" applyBorder="1" applyAlignment="1">
      <alignment horizontal="center"/>
    </xf>
    <xf numFmtId="11" fontId="18" fillId="9" borderId="6" xfId="0" applyNumberFormat="1" applyFont="1" applyFill="1" applyBorder="1" applyAlignment="1">
      <alignment horizontal="center"/>
    </xf>
    <xf numFmtId="0" fontId="7" fillId="3" borderId="13" xfId="0" applyFont="1" applyFill="1" applyBorder="1" applyAlignment="1">
      <alignment horizontal="center"/>
    </xf>
    <xf numFmtId="11" fontId="14" fillId="6" borderId="11" xfId="0" applyNumberFormat="1" applyFont="1" applyFill="1" applyBorder="1" applyAlignment="1">
      <alignment horizontal="center"/>
    </xf>
    <xf numFmtId="11" fontId="14" fillId="6" borderId="7" xfId="0" applyNumberFormat="1" applyFont="1" applyFill="1" applyBorder="1" applyAlignment="1">
      <alignment horizontal="center"/>
    </xf>
    <xf numFmtId="0" fontId="9" fillId="8" borderId="3" xfId="0" applyFont="1" applyFill="1" applyBorder="1" applyAlignment="1">
      <alignment horizontal="center"/>
    </xf>
    <xf numFmtId="0" fontId="0" fillId="0" borderId="11" xfId="0" applyFill="1" applyBorder="1" applyAlignment="1">
      <alignment horizontal="center"/>
    </xf>
    <xf numFmtId="0" fontId="0" fillId="0" borderId="12" xfId="0" applyFill="1" applyBorder="1" applyAlignment="1">
      <alignment horizontal="center"/>
    </xf>
    <xf numFmtId="11" fontId="9" fillId="8" borderId="3" xfId="0" applyNumberFormat="1" applyFont="1" applyFill="1" applyBorder="1" applyAlignment="1">
      <alignment horizontal="center"/>
    </xf>
    <xf numFmtId="0" fontId="7" fillId="3" borderId="11" xfId="0" applyFont="1" applyFill="1" applyBorder="1" applyAlignment="1">
      <alignment horizontal="center"/>
    </xf>
    <xf numFmtId="0" fontId="8" fillId="3" borderId="11" xfId="0" applyFont="1" applyFill="1" applyBorder="1" applyAlignment="1">
      <alignment horizontal="center"/>
    </xf>
    <xf numFmtId="0" fontId="1" fillId="0" borderId="0" xfId="0" applyFont="1" applyAlignment="1">
      <alignment horizontal="left"/>
    </xf>
    <xf numFmtId="0" fontId="0" fillId="0" borderId="0" xfId="0"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wrapText="1"/>
    </xf>
    <xf numFmtId="0" fontId="19" fillId="0" borderId="1" xfId="0" applyFont="1" applyBorder="1" applyAlignment="1">
      <alignment horizontal="center" wrapText="1"/>
    </xf>
    <xf numFmtId="2" fontId="0" fillId="0" borderId="15" xfId="0" applyNumberFormat="1" applyBorder="1" applyAlignment="1">
      <alignment horizontal="center"/>
    </xf>
    <xf numFmtId="0" fontId="20" fillId="0" borderId="0" xfId="0" applyFont="1"/>
    <xf numFmtId="11" fontId="0" fillId="0" borderId="0" xfId="0" applyNumberFormat="1" applyAlignment="1">
      <alignment horizontal="center"/>
    </xf>
    <xf numFmtId="166" fontId="21" fillId="0" borderId="0" xfId="0" applyNumberFormat="1" applyFont="1" applyBorder="1" applyAlignment="1">
      <alignment horizontal="center"/>
    </xf>
    <xf numFmtId="0" fontId="1" fillId="0" borderId="0" xfId="0" applyFont="1"/>
    <xf numFmtId="0" fontId="4" fillId="0" borderId="0" xfId="0" applyFont="1" applyAlignment="1">
      <alignment horizontal="left"/>
    </xf>
    <xf numFmtId="0" fontId="0" fillId="10" borderId="16" xfId="0" applyFill="1" applyBorder="1" applyAlignment="1">
      <alignment horizontal="left" wrapText="1"/>
    </xf>
    <xf numFmtId="0" fontId="1" fillId="10" borderId="16" xfId="0" applyFont="1" applyFill="1" applyBorder="1" applyAlignment="1">
      <alignment horizontal="left" wrapText="1"/>
    </xf>
    <xf numFmtId="0" fontId="1" fillId="11" borderId="16" xfId="0" applyFont="1" applyFill="1" applyBorder="1" applyAlignment="1">
      <alignment horizontal="left" vertical="center" wrapText="1"/>
    </xf>
    <xf numFmtId="0" fontId="0" fillId="11" borderId="16" xfId="0" applyFill="1" applyBorder="1" applyAlignment="1">
      <alignment wrapText="1"/>
    </xf>
    <xf numFmtId="0" fontId="1" fillId="11" borderId="16" xfId="0" applyFont="1" applyFill="1" applyBorder="1" applyAlignment="1">
      <alignment wrapText="1"/>
    </xf>
    <xf numFmtId="0" fontId="1" fillId="12" borderId="16" xfId="0" applyFont="1" applyFill="1" applyBorder="1"/>
    <xf numFmtId="0" fontId="1" fillId="13" borderId="16" xfId="0" applyFont="1" applyFill="1" applyBorder="1" applyAlignment="1">
      <alignment horizontal="left" wrapText="1"/>
    </xf>
    <xf numFmtId="0" fontId="1" fillId="13" borderId="16" xfId="0" applyFont="1" applyFill="1" applyBorder="1" applyAlignment="1">
      <alignment wrapText="1"/>
    </xf>
    <xf numFmtId="0" fontId="1" fillId="0" borderId="0" xfId="0" applyFont="1" applyAlignment="1">
      <alignment horizontal="left"/>
    </xf>
    <xf numFmtId="0" fontId="1" fillId="0" borderId="4" xfId="0" applyFont="1" applyBorder="1" applyAlignment="1">
      <alignment horizontal="center"/>
    </xf>
    <xf numFmtId="0" fontId="1" fillId="0" borderId="0" xfId="0" applyFont="1" applyBorder="1" applyAlignment="1">
      <alignment horizontal="center"/>
    </xf>
    <xf numFmtId="0" fontId="0" fillId="0" borderId="0" xfId="0" applyAlignment="1">
      <alignment horizontal="left" wrapText="1"/>
    </xf>
    <xf numFmtId="0" fontId="0" fillId="2" borderId="0" xfId="0" applyFill="1" applyAlignment="1">
      <alignment horizontal="center"/>
    </xf>
    <xf numFmtId="11" fontId="24" fillId="0" borderId="0" xfId="0" applyNumberFormat="1" applyFont="1" applyAlignment="1">
      <alignment horizontal="center"/>
    </xf>
    <xf numFmtId="0" fontId="21" fillId="2" borderId="0" xfId="0" applyFont="1" applyFill="1" applyAlignment="1">
      <alignment horizontal="center"/>
    </xf>
    <xf numFmtId="0" fontId="0" fillId="2" borderId="0" xfId="0" applyFill="1"/>
    <xf numFmtId="0" fontId="4" fillId="0" borderId="0" xfId="0" applyFont="1"/>
    <xf numFmtId="0" fontId="0" fillId="0" borderId="0" xfId="0" applyFont="1" applyAlignment="1">
      <alignment horizontal="center"/>
    </xf>
    <xf numFmtId="0" fontId="10" fillId="0" borderId="0" xfId="0" applyFont="1" applyAlignment="1">
      <alignment horizontal="right"/>
    </xf>
    <xf numFmtId="0" fontId="0" fillId="0" borderId="0" xfId="0" applyFont="1" applyAlignment="1">
      <alignment wrapText="1"/>
    </xf>
    <xf numFmtId="0" fontId="21" fillId="0" borderId="0" xfId="0" applyFont="1" applyFill="1" applyAlignment="1">
      <alignment horizontal="center"/>
    </xf>
    <xf numFmtId="0" fontId="0" fillId="0" borderId="0" xfId="0" applyFill="1" applyAlignment="1">
      <alignment horizontal="center"/>
    </xf>
    <xf numFmtId="0" fontId="21" fillId="2" borderId="0" xfId="0" applyFont="1" applyFill="1"/>
    <xf numFmtId="0" fontId="21" fillId="0" borderId="0" xfId="0" applyFont="1" applyFill="1"/>
    <xf numFmtId="11" fontId="0" fillId="0" borderId="0" xfId="0" applyNumberFormat="1" applyFont="1" applyAlignment="1">
      <alignment horizontal="center"/>
    </xf>
    <xf numFmtId="0" fontId="23" fillId="0" borderId="0" xfId="0" applyFont="1" applyAlignment="1">
      <alignment horizontal="center"/>
    </xf>
    <xf numFmtId="0" fontId="0" fillId="13" borderId="0" xfId="0" applyFill="1" applyAlignment="1">
      <alignment wrapText="1"/>
    </xf>
    <xf numFmtId="0" fontId="0" fillId="13" borderId="0" xfId="0" applyFill="1"/>
    <xf numFmtId="11" fontId="24" fillId="0" borderId="2" xfId="0" applyNumberFormat="1" applyFont="1" applyBorder="1" applyAlignment="1">
      <alignment horizontal="center"/>
    </xf>
    <xf numFmtId="11" fontId="24" fillId="0" borderId="12" xfId="0" applyNumberFormat="1" applyFont="1" applyBorder="1" applyAlignment="1">
      <alignment horizontal="center"/>
    </xf>
    <xf numFmtId="11" fontId="24" fillId="0" borderId="3" xfId="0" applyNumberFormat="1" applyFont="1" applyBorder="1" applyAlignment="1">
      <alignment horizontal="center"/>
    </xf>
    <xf numFmtId="0" fontId="1" fillId="0" borderId="5" xfId="0" applyFont="1" applyBorder="1" applyAlignment="1">
      <alignment horizontal="center"/>
    </xf>
    <xf numFmtId="11" fontId="0" fillId="0" borderId="4" xfId="0" applyNumberFormat="1" applyBorder="1" applyAlignment="1">
      <alignment horizontal="center"/>
    </xf>
    <xf numFmtId="11" fontId="0" fillId="0" borderId="5" xfId="0" applyNumberFormat="1" applyBorder="1" applyAlignment="1">
      <alignment horizontal="center"/>
    </xf>
    <xf numFmtId="0" fontId="21" fillId="2" borderId="11" xfId="0" applyFont="1" applyFill="1" applyBorder="1" applyAlignment="1">
      <alignment horizontal="center"/>
    </xf>
    <xf numFmtId="11" fontId="0" fillId="0" borderId="7" xfId="0" applyNumberFormat="1" applyBorder="1" applyAlignment="1">
      <alignment horizontal="center"/>
    </xf>
    <xf numFmtId="0" fontId="0" fillId="2" borderId="6" xfId="0" applyFill="1" applyBorder="1" applyAlignment="1">
      <alignment horizontal="center"/>
    </xf>
    <xf numFmtId="0" fontId="0" fillId="2" borderId="11" xfId="0" applyFill="1" applyBorder="1"/>
    <xf numFmtId="0" fontId="0" fillId="0" borderId="9" xfId="0" applyBorder="1" applyAlignment="1"/>
    <xf numFmtId="0" fontId="0" fillId="0" borderId="10" xfId="0" applyBorder="1" applyAlignment="1"/>
    <xf numFmtId="0" fontId="0" fillId="2" borderId="0" xfId="0" applyFont="1" applyFill="1" applyAlignment="1">
      <alignment wrapText="1"/>
    </xf>
    <xf numFmtId="11" fontId="0" fillId="2" borderId="0" xfId="0" applyNumberFormat="1" applyFill="1" applyAlignment="1">
      <alignment horizontal="center"/>
    </xf>
    <xf numFmtId="168" fontId="0" fillId="0" borderId="1" xfId="0" applyNumberFormat="1" applyFill="1" applyBorder="1" applyAlignment="1">
      <alignment horizontal="center"/>
    </xf>
    <xf numFmtId="0" fontId="28" fillId="0" borderId="0" xfId="0" applyFont="1" applyAlignment="1">
      <alignment horizontal="right" wrapText="1"/>
    </xf>
    <xf numFmtId="0" fontId="0" fillId="0" borderId="0" xfId="0" applyAlignment="1">
      <alignment horizontal="right"/>
    </xf>
    <xf numFmtId="0" fontId="0" fillId="6" borderId="9" xfId="0" applyFill="1" applyBorder="1" applyAlignment="1">
      <alignment horizontal="center" wrapText="1"/>
    </xf>
    <xf numFmtId="0" fontId="10" fillId="3" borderId="0" xfId="0" applyFont="1" applyFill="1" applyAlignment="1">
      <alignment horizontal="center" wrapText="1"/>
    </xf>
    <xf numFmtId="0" fontId="0" fillId="9" borderId="15" xfId="0" applyFill="1" applyBorder="1" applyAlignment="1">
      <alignment horizontal="center" vertical="center" wrapText="1"/>
    </xf>
    <xf numFmtId="0" fontId="0" fillId="0" borderId="0" xfId="0" applyBorder="1" applyAlignment="1">
      <alignment horizontal="center"/>
    </xf>
    <xf numFmtId="11" fontId="0" fillId="0" borderId="0" xfId="0" applyNumberForma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xf>
    <xf numFmtId="11" fontId="3" fillId="0" borderId="0" xfId="0" applyNumberFormat="1" applyFont="1" applyFill="1" applyAlignment="1">
      <alignment horizontal="center"/>
    </xf>
    <xf numFmtId="11" fontId="9" fillId="0" borderId="0" xfId="0" applyNumberFormat="1" applyFont="1" applyFill="1" applyAlignment="1">
      <alignment horizontal="center"/>
    </xf>
    <xf numFmtId="11" fontId="9" fillId="0" borderId="0" xfId="0" applyNumberFormat="1" applyFont="1" applyAlignment="1">
      <alignment horizontal="center"/>
    </xf>
    <xf numFmtId="11" fontId="9" fillId="0" borderId="0" xfId="0" applyNumberFormat="1" applyFont="1" applyAlignment="1">
      <alignment horizontal="center" wrapText="1"/>
    </xf>
    <xf numFmtId="0" fontId="0" fillId="2" borderId="0" xfId="0" applyFill="1" applyAlignment="1">
      <alignment wrapText="1"/>
    </xf>
    <xf numFmtId="11" fontId="14" fillId="2" borderId="0" xfId="0" applyNumberFormat="1" applyFont="1" applyFill="1" applyAlignment="1">
      <alignment horizontal="center" wrapText="1"/>
    </xf>
    <xf numFmtId="164" fontId="0" fillId="0" borderId="0" xfId="0" applyNumberFormat="1" applyAlignment="1">
      <alignment horizontal="center"/>
    </xf>
    <xf numFmtId="2" fontId="0" fillId="0" borderId="0" xfId="0" applyNumberFormat="1" applyAlignment="1">
      <alignment horizontal="center"/>
    </xf>
    <xf numFmtId="0" fontId="21" fillId="0" borderId="0" xfId="0" applyFont="1" applyAlignment="1">
      <alignment horizontal="center"/>
    </xf>
    <xf numFmtId="0" fontId="21" fillId="0" borderId="0" xfId="0" applyFont="1" applyBorder="1" applyAlignment="1">
      <alignment horizontal="center"/>
    </xf>
    <xf numFmtId="11" fontId="9" fillId="0" borderId="4" xfId="0" applyNumberFormat="1" applyFont="1" applyBorder="1" applyAlignment="1">
      <alignment horizontal="center"/>
    </xf>
    <xf numFmtId="11" fontId="9" fillId="0" borderId="0" xfId="0" applyNumberFormat="1" applyFont="1" applyBorder="1" applyAlignment="1">
      <alignment horizontal="center"/>
    </xf>
    <xf numFmtId="11" fontId="9" fillId="0" borderId="5" xfId="0" applyNumberFormat="1" applyFont="1" applyBorder="1" applyAlignment="1">
      <alignment horizontal="center"/>
    </xf>
    <xf numFmtId="11" fontId="30" fillId="2" borderId="0" xfId="0" applyNumberFormat="1" applyFont="1" applyFill="1" applyAlignment="1">
      <alignment horizontal="center" wrapText="1"/>
    </xf>
    <xf numFmtId="0" fontId="3" fillId="0" borderId="0" xfId="0" applyFont="1" applyAlignment="1">
      <alignment wrapText="1"/>
    </xf>
    <xf numFmtId="0" fontId="9" fillId="0" borderId="0" xfId="0" applyFont="1" applyAlignment="1">
      <alignment horizontal="center"/>
    </xf>
    <xf numFmtId="0" fontId="8" fillId="3" borderId="0" xfId="0" applyFont="1" applyFill="1" applyAlignment="1">
      <alignment horizontal="center"/>
    </xf>
    <xf numFmtId="0" fontId="21" fillId="0" borderId="0" xfId="0" applyFont="1" applyAlignment="1">
      <alignment horizontal="center" wrapText="1"/>
    </xf>
    <xf numFmtId="0" fontId="29" fillId="0" borderId="0" xfId="0" applyFont="1" applyBorder="1" applyAlignment="1"/>
    <xf numFmtId="11" fontId="32" fillId="0" borderId="0" xfId="0" applyNumberFormat="1" applyFont="1" applyAlignment="1">
      <alignment horizontal="center"/>
    </xf>
    <xf numFmtId="2" fontId="9" fillId="0" borderId="15" xfId="0" applyNumberFormat="1" applyFont="1" applyBorder="1" applyAlignment="1">
      <alignment horizontal="center"/>
    </xf>
    <xf numFmtId="2" fontId="9" fillId="3" borderId="15" xfId="0" applyNumberFormat="1" applyFont="1" applyFill="1" applyBorder="1" applyAlignment="1">
      <alignment horizontal="center"/>
    </xf>
    <xf numFmtId="0" fontId="9" fillId="0" borderId="0" xfId="0" applyFont="1" applyFill="1" applyAlignment="1">
      <alignment horizontal="center"/>
    </xf>
    <xf numFmtId="164" fontId="7" fillId="0" borderId="0" xfId="0" applyNumberFormat="1" applyFont="1" applyAlignment="1">
      <alignment horizontal="center"/>
    </xf>
    <xf numFmtId="0" fontId="21" fillId="0" borderId="0" xfId="0" applyFont="1"/>
    <xf numFmtId="1" fontId="21" fillId="0" borderId="0" xfId="0" applyNumberFormat="1" applyFont="1" applyAlignment="1">
      <alignment horizontal="center"/>
    </xf>
    <xf numFmtId="2" fontId="9" fillId="0" borderId="1" xfId="0" applyNumberFormat="1" applyFont="1" applyBorder="1" applyAlignment="1">
      <alignment horizontal="center"/>
    </xf>
    <xf numFmtId="0" fontId="28" fillId="0" borderId="0" xfId="0" applyFont="1" applyAlignment="1">
      <alignment wrapText="1"/>
    </xf>
    <xf numFmtId="0" fontId="0" fillId="3" borderId="1" xfId="0" applyFill="1" applyBorder="1"/>
    <xf numFmtId="9" fontId="0" fillId="3" borderId="1" xfId="0" applyNumberFormat="1" applyFill="1" applyBorder="1" applyAlignment="1">
      <alignment horizontal="center"/>
    </xf>
    <xf numFmtId="169" fontId="0" fillId="0" borderId="0" xfId="0" applyNumberFormat="1"/>
    <xf numFmtId="11" fontId="1" fillId="3" borderId="15" xfId="0" applyNumberFormat="1" applyFont="1" applyFill="1" applyBorder="1" applyAlignment="1">
      <alignment horizontal="center"/>
    </xf>
    <xf numFmtId="2" fontId="1" fillId="3" borderId="8" xfId="0" applyNumberFormat="1" applyFont="1" applyFill="1" applyBorder="1" applyAlignment="1">
      <alignment horizontal="center"/>
    </xf>
    <xf numFmtId="167" fontId="21" fillId="9" borderId="15" xfId="0" applyNumberFormat="1" applyFont="1" applyFill="1" applyBorder="1" applyAlignment="1">
      <alignment horizontal="center"/>
    </xf>
    <xf numFmtId="11" fontId="21" fillId="9" borderId="5" xfId="0" applyNumberFormat="1" applyFont="1" applyFill="1" applyBorder="1" applyAlignment="1">
      <alignment horizontal="center"/>
    </xf>
    <xf numFmtId="11" fontId="21" fillId="9" borderId="0" xfId="0" applyNumberFormat="1" applyFont="1" applyFill="1" applyBorder="1" applyAlignment="1">
      <alignment horizontal="center"/>
    </xf>
    <xf numFmtId="11" fontId="21" fillId="9" borderId="12" xfId="0" applyNumberFormat="1" applyFont="1" applyFill="1" applyBorder="1" applyAlignment="1">
      <alignment horizontal="center"/>
    </xf>
    <xf numFmtId="11" fontId="21" fillId="9" borderId="3" xfId="0" applyNumberFormat="1" applyFont="1" applyFill="1" applyBorder="1" applyAlignment="1">
      <alignment horizontal="center"/>
    </xf>
    <xf numFmtId="11" fontId="21" fillId="9" borderId="15" xfId="0" applyNumberFormat="1" applyFont="1" applyFill="1" applyBorder="1" applyAlignment="1">
      <alignment horizontal="center"/>
    </xf>
    <xf numFmtId="11" fontId="21" fillId="9" borderId="2" xfId="0" applyNumberFormat="1" applyFont="1" applyFill="1" applyBorder="1" applyAlignment="1">
      <alignment horizontal="center"/>
    </xf>
    <xf numFmtId="167" fontId="21" fillId="9" borderId="13" xfId="0" applyNumberFormat="1" applyFont="1" applyFill="1" applyBorder="1" applyAlignment="1">
      <alignment horizontal="center"/>
    </xf>
    <xf numFmtId="11" fontId="21" fillId="9" borderId="13" xfId="0" applyNumberFormat="1" applyFont="1" applyFill="1" applyBorder="1" applyAlignment="1">
      <alignment horizontal="center"/>
    </xf>
    <xf numFmtId="11" fontId="21" fillId="9" borderId="4" xfId="0" applyNumberFormat="1" applyFont="1" applyFill="1" applyBorder="1" applyAlignment="1">
      <alignment horizontal="center"/>
    </xf>
    <xf numFmtId="0" fontId="0" fillId="6" borderId="1" xfId="0" applyFont="1" applyFill="1" applyBorder="1" applyAlignment="1">
      <alignment horizontal="center"/>
    </xf>
    <xf numFmtId="0" fontId="0" fillId="6" borderId="1" xfId="0" applyFont="1" applyFill="1" applyBorder="1" applyAlignment="1">
      <alignment horizontal="center" wrapText="1"/>
    </xf>
    <xf numFmtId="0" fontId="34" fillId="0" borderId="0" xfId="0" applyFont="1" applyAlignment="1">
      <alignment horizontal="center"/>
    </xf>
    <xf numFmtId="167" fontId="9" fillId="0" borderId="4" xfId="0" applyNumberFormat="1" applyFont="1" applyBorder="1" applyAlignment="1">
      <alignment horizontal="center"/>
    </xf>
    <xf numFmtId="167" fontId="9" fillId="0" borderId="6" xfId="0" applyNumberFormat="1" applyFont="1" applyBorder="1" applyAlignment="1">
      <alignment horizontal="center"/>
    </xf>
    <xf numFmtId="167" fontId="30" fillId="0" borderId="2" xfId="0" applyNumberFormat="1" applyFont="1" applyBorder="1" applyAlignment="1">
      <alignment horizontal="center"/>
    </xf>
    <xf numFmtId="167" fontId="30" fillId="0" borderId="4" xfId="0" applyNumberFormat="1" applyFont="1" applyBorder="1" applyAlignment="1">
      <alignment horizontal="center"/>
    </xf>
    <xf numFmtId="167" fontId="30" fillId="0" borderId="6" xfId="0" applyNumberFormat="1" applyFont="1" applyBorder="1" applyAlignment="1">
      <alignment horizontal="center"/>
    </xf>
    <xf numFmtId="167" fontId="30" fillId="0" borderId="13" xfId="0" applyNumberFormat="1" applyFont="1" applyBorder="1" applyAlignment="1">
      <alignment horizontal="center"/>
    </xf>
    <xf numFmtId="167" fontId="30" fillId="0" borderId="14" xfId="0" applyNumberFormat="1" applyFont="1" applyBorder="1" applyAlignment="1">
      <alignment horizontal="center"/>
    </xf>
    <xf numFmtId="167" fontId="9" fillId="9" borderId="13" xfId="0" applyNumberFormat="1" applyFont="1" applyFill="1" applyBorder="1" applyAlignment="1">
      <alignment horizontal="center"/>
    </xf>
    <xf numFmtId="167" fontId="30" fillId="0" borderId="12" xfId="0" applyNumberFormat="1" applyFont="1" applyBorder="1" applyAlignment="1">
      <alignment horizontal="center"/>
    </xf>
    <xf numFmtId="167" fontId="30" fillId="0" borderId="0" xfId="0" applyNumberFormat="1" applyFont="1" applyBorder="1" applyAlignment="1">
      <alignment horizontal="center"/>
    </xf>
    <xf numFmtId="167" fontId="30" fillId="0" borderId="11" xfId="0" applyNumberFormat="1" applyFont="1" applyBorder="1" applyAlignment="1">
      <alignment horizontal="center"/>
    </xf>
    <xf numFmtId="0" fontId="0" fillId="0" borderId="0" xfId="0" applyFill="1" applyBorder="1" applyAlignment="1">
      <alignment vertical="center" wrapText="1"/>
    </xf>
    <xf numFmtId="167" fontId="21" fillId="0" borderId="0" xfId="0" applyNumberFormat="1" applyFont="1" applyFill="1" applyBorder="1" applyAlignment="1">
      <alignment horizontal="center"/>
    </xf>
    <xf numFmtId="11" fontId="21" fillId="0" borderId="0" xfId="0" applyNumberFormat="1" applyFont="1" applyFill="1" applyBorder="1" applyAlignment="1">
      <alignment horizontal="center"/>
    </xf>
    <xf numFmtId="167" fontId="21" fillId="6" borderId="15" xfId="0" applyNumberFormat="1" applyFont="1" applyFill="1" applyBorder="1" applyAlignment="1">
      <alignment horizontal="center"/>
    </xf>
    <xf numFmtId="11" fontId="21" fillId="6" borderId="12" xfId="0" applyNumberFormat="1" applyFont="1" applyFill="1" applyBorder="1" applyAlignment="1">
      <alignment horizontal="center"/>
    </xf>
    <xf numFmtId="167" fontId="21" fillId="6" borderId="13" xfId="0" applyNumberFormat="1" applyFont="1" applyFill="1" applyBorder="1" applyAlignment="1">
      <alignment horizontal="center"/>
    </xf>
    <xf numFmtId="11" fontId="21" fillId="6" borderId="0" xfId="0" applyNumberFormat="1" applyFont="1" applyFill="1" applyBorder="1" applyAlignment="1">
      <alignment horizontal="center"/>
    </xf>
    <xf numFmtId="2" fontId="0" fillId="0" borderId="15" xfId="0" applyNumberFormat="1" applyFont="1" applyFill="1" applyBorder="1" applyAlignment="1">
      <alignment horizontal="center"/>
    </xf>
    <xf numFmtId="2" fontId="0" fillId="0" borderId="13" xfId="0" applyNumberFormat="1" applyFont="1" applyFill="1" applyBorder="1" applyAlignment="1">
      <alignment horizontal="center"/>
    </xf>
    <xf numFmtId="2" fontId="9" fillId="0" borderId="13" xfId="0" applyNumberFormat="1" applyFont="1" applyFill="1" applyBorder="1" applyAlignment="1">
      <alignment horizontal="center"/>
    </xf>
    <xf numFmtId="0" fontId="0" fillId="6" borderId="15" xfId="0" applyFont="1" applyFill="1" applyBorder="1" applyAlignment="1">
      <alignment horizontal="center" wrapText="1"/>
    </xf>
    <xf numFmtId="11" fontId="0" fillId="0" borderId="15" xfId="0" applyNumberFormat="1" applyBorder="1" applyAlignment="1">
      <alignment horizontal="center"/>
    </xf>
    <xf numFmtId="11" fontId="0" fillId="0" borderId="13" xfId="0" applyNumberFormat="1" applyBorder="1" applyAlignment="1">
      <alignment horizontal="center"/>
    </xf>
    <xf numFmtId="11" fontId="0" fillId="0" borderId="14" xfId="0" applyNumberFormat="1" applyBorder="1" applyAlignment="1">
      <alignment horizontal="center"/>
    </xf>
    <xf numFmtId="164" fontId="0" fillId="9" borderId="2" xfId="0" applyNumberFormat="1" applyFill="1" applyBorder="1" applyAlignment="1">
      <alignment horizontal="center"/>
    </xf>
    <xf numFmtId="164" fontId="0" fillId="9" borderId="3" xfId="0" applyNumberFormat="1" applyFill="1" applyBorder="1" applyAlignment="1">
      <alignment horizontal="center"/>
    </xf>
    <xf numFmtId="164" fontId="0" fillId="9" borderId="6" xfId="0" applyNumberFormat="1" applyFill="1" applyBorder="1" applyAlignment="1">
      <alignment horizontal="center"/>
    </xf>
    <xf numFmtId="167" fontId="9" fillId="6" borderId="13" xfId="0" applyNumberFormat="1" applyFont="1" applyFill="1" applyBorder="1" applyAlignment="1">
      <alignment horizontal="center"/>
    </xf>
    <xf numFmtId="0" fontId="9" fillId="3" borderId="0" xfId="0" applyFont="1" applyFill="1" applyBorder="1" applyAlignment="1">
      <alignment horizontal="center"/>
    </xf>
    <xf numFmtId="11" fontId="9" fillId="9" borderId="7" xfId="0" applyNumberFormat="1" applyFont="1" applyFill="1" applyBorder="1" applyAlignment="1">
      <alignment horizontal="center"/>
    </xf>
    <xf numFmtId="167" fontId="9" fillId="9" borderId="14" xfId="0" applyNumberFormat="1" applyFont="1" applyFill="1" applyBorder="1" applyAlignment="1">
      <alignment horizontal="center"/>
    </xf>
    <xf numFmtId="11" fontId="9" fillId="9" borderId="11" xfId="0" applyNumberFormat="1" applyFont="1" applyFill="1" applyBorder="1" applyAlignment="1">
      <alignment horizontal="center"/>
    </xf>
    <xf numFmtId="167" fontId="9" fillId="0" borderId="2" xfId="0" applyNumberFormat="1" applyFont="1" applyBorder="1" applyAlignment="1">
      <alignment horizontal="center"/>
    </xf>
    <xf numFmtId="11" fontId="9" fillId="9" borderId="14" xfId="0" applyNumberFormat="1" applyFont="1" applyFill="1" applyBorder="1" applyAlignment="1">
      <alignment horizontal="center"/>
    </xf>
    <xf numFmtId="11" fontId="9" fillId="9" borderId="6" xfId="0" applyNumberFormat="1" applyFont="1" applyFill="1" applyBorder="1" applyAlignment="1">
      <alignment horizontal="center"/>
    </xf>
    <xf numFmtId="167" fontId="9" fillId="6" borderId="14" xfId="0" applyNumberFormat="1" applyFont="1" applyFill="1" applyBorder="1" applyAlignment="1">
      <alignment horizontal="center"/>
    </xf>
    <xf numFmtId="11" fontId="9" fillId="6" borderId="11" xfId="0" applyNumberFormat="1" applyFont="1" applyFill="1" applyBorder="1" applyAlignment="1">
      <alignment horizontal="center"/>
    </xf>
    <xf numFmtId="2" fontId="7" fillId="3" borderId="14" xfId="0" applyNumberFormat="1" applyFont="1" applyFill="1" applyBorder="1" applyAlignment="1">
      <alignment horizontal="center"/>
    </xf>
    <xf numFmtId="2" fontId="7" fillId="3" borderId="13" xfId="0" applyNumberFormat="1" applyFont="1" applyFill="1" applyBorder="1" applyAlignment="1">
      <alignment horizontal="center"/>
    </xf>
    <xf numFmtId="164" fontId="7" fillId="3" borderId="0" xfId="0" applyNumberFormat="1" applyFont="1" applyFill="1" applyAlignment="1">
      <alignment horizontal="center"/>
    </xf>
    <xf numFmtId="164" fontId="9" fillId="0" borderId="0" xfId="0" applyNumberFormat="1" applyFont="1" applyFill="1" applyBorder="1" applyAlignment="1">
      <alignment horizontal="center"/>
    </xf>
    <xf numFmtId="0" fontId="36" fillId="0" borderId="0" xfId="0" applyFont="1"/>
    <xf numFmtId="0" fontId="38" fillId="0" borderId="0" xfId="0" applyFont="1" applyFill="1" applyBorder="1" applyAlignment="1"/>
    <xf numFmtId="0" fontId="37" fillId="3" borderId="0" xfId="0" applyFont="1" applyFill="1" applyBorder="1" applyAlignment="1">
      <alignment horizontal="center"/>
    </xf>
    <xf numFmtId="2" fontId="37" fillId="3" borderId="13" xfId="0" applyNumberFormat="1" applyFont="1" applyFill="1" applyBorder="1" applyAlignment="1">
      <alignment horizontal="center"/>
    </xf>
    <xf numFmtId="167" fontId="35" fillId="9" borderId="13" xfId="0" applyNumberFormat="1" applyFont="1" applyFill="1" applyBorder="1" applyAlignment="1">
      <alignment horizontal="center"/>
    </xf>
    <xf numFmtId="11" fontId="35" fillId="9" borderId="5" xfId="0" applyNumberFormat="1" applyFont="1" applyFill="1" applyBorder="1" applyAlignment="1">
      <alignment horizontal="center"/>
    </xf>
    <xf numFmtId="11" fontId="35" fillId="9" borderId="0" xfId="0" applyNumberFormat="1" applyFont="1" applyFill="1" applyBorder="1" applyAlignment="1">
      <alignment horizontal="center"/>
    </xf>
    <xf numFmtId="11" fontId="35" fillId="9" borderId="13" xfId="0" applyNumberFormat="1" applyFont="1" applyFill="1" applyBorder="1" applyAlignment="1">
      <alignment horizontal="center"/>
    </xf>
    <xf numFmtId="11" fontId="35" fillId="9" borderId="4" xfId="0" applyNumberFormat="1" applyFont="1" applyFill="1" applyBorder="1" applyAlignment="1">
      <alignment horizontal="center"/>
    </xf>
    <xf numFmtId="167" fontId="35" fillId="6" borderId="13" xfId="0" applyNumberFormat="1" applyFont="1" applyFill="1" applyBorder="1" applyAlignment="1">
      <alignment horizontal="center"/>
    </xf>
    <xf numFmtId="11" fontId="35" fillId="6" borderId="0" xfId="0" applyNumberFormat="1" applyFont="1"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0" fillId="0" borderId="0" xfId="0" applyAlignment="1">
      <alignment horizontal="left"/>
    </xf>
    <xf numFmtId="0" fontId="1" fillId="0" borderId="2" xfId="0" applyFont="1" applyFill="1" applyBorder="1" applyAlignment="1">
      <alignment horizontal="center"/>
    </xf>
    <xf numFmtId="0" fontId="1" fillId="0" borderId="12" xfId="0" applyFont="1" applyFill="1" applyBorder="1" applyAlignment="1">
      <alignment horizontal="center"/>
    </xf>
    <xf numFmtId="165" fontId="3" fillId="5" borderId="4" xfId="0" applyNumberFormat="1" applyFont="1" applyFill="1" applyBorder="1" applyAlignment="1">
      <alignment horizontal="center"/>
    </xf>
    <xf numFmtId="165" fontId="3" fillId="5" borderId="5" xfId="0" applyNumberFormat="1" applyFont="1" applyFill="1" applyBorder="1" applyAlignment="1">
      <alignment horizontal="center"/>
    </xf>
    <xf numFmtId="0" fontId="0" fillId="0" borderId="6" xfId="0" applyBorder="1" applyAlignment="1">
      <alignment horizontal="left"/>
    </xf>
    <xf numFmtId="0" fontId="0" fillId="0" borderId="11" xfId="0" applyBorder="1" applyAlignment="1">
      <alignment horizontal="left"/>
    </xf>
    <xf numFmtId="0" fontId="0" fillId="0" borderId="7" xfId="0" applyBorder="1" applyAlignment="1">
      <alignment horizontal="left"/>
    </xf>
    <xf numFmtId="165" fontId="3" fillId="4" borderId="4" xfId="0" applyNumberFormat="1" applyFont="1" applyFill="1" applyBorder="1" applyAlignment="1">
      <alignment horizontal="center"/>
    </xf>
    <xf numFmtId="165" fontId="3" fillId="4" borderId="5" xfId="0" applyNumberFormat="1" applyFont="1" applyFill="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0" fillId="6" borderId="8" xfId="0" applyFill="1" applyBorder="1" applyAlignment="1">
      <alignment horizontal="center" wrapText="1"/>
    </xf>
    <xf numFmtId="0" fontId="0" fillId="6" borderId="9" xfId="0" applyFill="1" applyBorder="1" applyAlignment="1">
      <alignment horizontal="center" wrapText="1"/>
    </xf>
    <xf numFmtId="0" fontId="0" fillId="5" borderId="8" xfId="0" applyFill="1" applyBorder="1" applyAlignment="1">
      <alignment horizontal="center" wrapText="1"/>
    </xf>
    <xf numFmtId="0" fontId="0" fillId="5" borderId="9" xfId="0" applyFill="1" applyBorder="1" applyAlignment="1">
      <alignment horizontal="center" wrapText="1"/>
    </xf>
    <xf numFmtId="0" fontId="0" fillId="4" borderId="8" xfId="0" applyFill="1" applyBorder="1" applyAlignment="1">
      <alignment horizontal="center" wrapText="1"/>
    </xf>
    <xf numFmtId="0" fontId="0" fillId="4" borderId="9" xfId="0" applyFill="1" applyBorder="1" applyAlignment="1">
      <alignment horizontal="center" wrapText="1"/>
    </xf>
    <xf numFmtId="0" fontId="3" fillId="5" borderId="6" xfId="0" applyFont="1" applyFill="1" applyBorder="1" applyAlignment="1">
      <alignment horizontal="center" wrapText="1"/>
    </xf>
    <xf numFmtId="0" fontId="3" fillId="5" borderId="7" xfId="0" applyFont="1" applyFill="1" applyBorder="1" applyAlignment="1">
      <alignment horizontal="center" wrapText="1"/>
    </xf>
    <xf numFmtId="0" fontId="3" fillId="4" borderId="6" xfId="0" applyFont="1" applyFill="1" applyBorder="1" applyAlignment="1">
      <alignment horizontal="center" wrapText="1"/>
    </xf>
    <xf numFmtId="0" fontId="3" fillId="4" borderId="7" xfId="0" applyFont="1" applyFill="1" applyBorder="1" applyAlignment="1">
      <alignment horizontal="center" wrapText="1"/>
    </xf>
    <xf numFmtId="0" fontId="0" fillId="0" borderId="0" xfId="0" applyAlignment="1">
      <alignment horizontal="left" wrapText="1"/>
    </xf>
    <xf numFmtId="0" fontId="6" fillId="0" borderId="0" xfId="0" applyFont="1" applyAlignment="1">
      <alignment horizontal="left"/>
    </xf>
    <xf numFmtId="0" fontId="0" fillId="0" borderId="2" xfId="0" applyBorder="1" applyAlignment="1">
      <alignment horizontal="left"/>
    </xf>
    <xf numFmtId="0" fontId="0" fillId="0" borderId="1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1" fillId="2" borderId="2" xfId="0" applyFont="1" applyFill="1" applyBorder="1" applyAlignment="1">
      <alignment horizontal="center"/>
    </xf>
    <xf numFmtId="0" fontId="1" fillId="2" borderId="12" xfId="0" applyFont="1" applyFill="1" applyBorder="1" applyAlignment="1">
      <alignment horizontal="center"/>
    </xf>
    <xf numFmtId="0" fontId="1" fillId="2" borderId="3" xfId="0" applyFont="1" applyFill="1" applyBorder="1" applyAlignment="1">
      <alignment horizontal="center"/>
    </xf>
    <xf numFmtId="0" fontId="0" fillId="9" borderId="4" xfId="0" applyFill="1" applyBorder="1" applyAlignment="1">
      <alignment horizontal="center" vertical="center" wrapText="1"/>
    </xf>
    <xf numFmtId="0" fontId="0" fillId="9" borderId="6" xfId="0" applyFill="1" applyBorder="1" applyAlignment="1">
      <alignment horizontal="center" vertical="center" wrapText="1"/>
    </xf>
    <xf numFmtId="0" fontId="0" fillId="9" borderId="0" xfId="0" applyFill="1" applyBorder="1" applyAlignment="1">
      <alignment horizontal="center" vertical="center" wrapText="1"/>
    </xf>
    <xf numFmtId="0" fontId="0" fillId="9" borderId="11" xfId="0" applyFill="1" applyBorder="1" applyAlignment="1">
      <alignment horizontal="center" vertical="center" wrapText="1"/>
    </xf>
    <xf numFmtId="0" fontId="10" fillId="3" borderId="0" xfId="0" applyFont="1" applyFill="1" applyAlignment="1">
      <alignment horizontal="center" wrapText="1"/>
    </xf>
    <xf numFmtId="0" fontId="0" fillId="3" borderId="8" xfId="0" applyFill="1" applyBorder="1" applyAlignment="1">
      <alignment horizontal="center"/>
    </xf>
    <xf numFmtId="0" fontId="0" fillId="3" borderId="3" xfId="0" applyFill="1" applyBorder="1" applyAlignment="1">
      <alignment horizontal="center"/>
    </xf>
    <xf numFmtId="0" fontId="0" fillId="2" borderId="3" xfId="0" applyFill="1" applyBorder="1" applyAlignment="1">
      <alignment horizontal="center"/>
    </xf>
    <xf numFmtId="0" fontId="12" fillId="0" borderId="0" xfId="0" applyFont="1" applyAlignment="1">
      <alignment horizontal="left" wrapText="1"/>
    </xf>
    <xf numFmtId="0" fontId="0" fillId="2" borderId="2" xfId="0" applyFill="1" applyBorder="1" applyAlignment="1">
      <alignment horizontal="center"/>
    </xf>
    <xf numFmtId="0" fontId="0" fillId="9" borderId="15"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0" borderId="0"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6" fillId="0" borderId="9" xfId="0" applyFont="1" applyFill="1" applyBorder="1" applyAlignment="1">
      <alignment horizontal="right"/>
    </xf>
    <xf numFmtId="0" fontId="26" fillId="0" borderId="10" xfId="0" applyFont="1" applyFill="1" applyBorder="1" applyAlignment="1">
      <alignment horizontal="right"/>
    </xf>
    <xf numFmtId="0" fontId="1" fillId="0" borderId="0" xfId="0" applyFont="1" applyAlignment="1">
      <alignment horizontal="right"/>
    </xf>
    <xf numFmtId="0" fontId="1" fillId="0" borderId="5" xfId="0" applyFont="1" applyBorder="1" applyAlignment="1">
      <alignment horizontal="right"/>
    </xf>
    <xf numFmtId="0" fontId="1" fillId="0" borderId="8" xfId="0" applyFont="1" applyBorder="1" applyAlignment="1">
      <alignment horizontal="center"/>
    </xf>
    <xf numFmtId="0" fontId="10" fillId="0" borderId="12" xfId="0" applyFont="1" applyBorder="1" applyAlignment="1">
      <alignment horizontal="center"/>
    </xf>
    <xf numFmtId="0" fontId="9" fillId="2" borderId="8" xfId="0" applyFont="1" applyFill="1" applyBorder="1" applyAlignment="1">
      <alignment horizontal="center"/>
    </xf>
    <xf numFmtId="0" fontId="9" fillId="2" borderId="3" xfId="0" applyFont="1" applyFill="1" applyBorder="1" applyAlignment="1">
      <alignment horizontal="center"/>
    </xf>
    <xf numFmtId="11" fontId="0" fillId="3" borderId="1" xfId="0" applyNumberFormat="1" applyFill="1" applyBorder="1" applyAlignment="1">
      <alignment horizontal="center"/>
    </xf>
    <xf numFmtId="0" fontId="19" fillId="0" borderId="0"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Ra-226</c:v>
          </c:tx>
          <c:xVal>
            <c:numRef>
              <c:f>'Dose vs Small Area (Low Conc.)'!$D$25:$D$37</c:f>
              <c:numCache>
                <c:formatCode>0.0000E+00</c:formatCode>
                <c:ptCount val="13"/>
                <c:pt idx="0">
                  <c:v>230666526.43918848</c:v>
                </c:pt>
                <c:pt idx="1">
                  <c:v>576666.31609797117</c:v>
                </c:pt>
                <c:pt idx="2">
                  <c:v>144166.57902449279</c:v>
                </c:pt>
                <c:pt idx="3">
                  <c:v>36041.644756123198</c:v>
                </c:pt>
                <c:pt idx="4">
                  <c:v>5766.6631609797114</c:v>
                </c:pt>
                <c:pt idx="5">
                  <c:v>360.41644756123196</c:v>
                </c:pt>
                <c:pt idx="6">
                  <c:v>230.66652643918846</c:v>
                </c:pt>
                <c:pt idx="7">
                  <c:v>57.666631609797115</c:v>
                </c:pt>
                <c:pt idx="8">
                  <c:v>14.416657902449279</c:v>
                </c:pt>
                <c:pt idx="9">
                  <c:v>0.57666631609797114</c:v>
                </c:pt>
                <c:pt idx="10">
                  <c:v>5.7666631609797131E-3</c:v>
                </c:pt>
                <c:pt idx="11">
                  <c:v>5.7666631609797117E-5</c:v>
                </c:pt>
                <c:pt idx="12">
                  <c:v>5.7666631609797113E-7</c:v>
                </c:pt>
              </c:numCache>
            </c:numRef>
          </c:xVal>
          <c:yVal>
            <c:numRef>
              <c:f>'Dose vs Small Area (Low Conc.)'!$E$25:$E$37</c:f>
              <c:numCache>
                <c:formatCode>0.0000E+00</c:formatCode>
                <c:ptCount val="13"/>
                <c:pt idx="0">
                  <c:v>2.8600000000000001E-3</c:v>
                </c:pt>
                <c:pt idx="1">
                  <c:v>0.68910000000000005</c:v>
                </c:pt>
                <c:pt idx="2">
                  <c:v>2.0569999999999999</c:v>
                </c:pt>
                <c:pt idx="3">
                  <c:v>5.1509999999999998</c:v>
                </c:pt>
                <c:pt idx="4">
                  <c:v>14.15</c:v>
                </c:pt>
                <c:pt idx="5">
                  <c:v>16.41</c:v>
                </c:pt>
                <c:pt idx="6">
                  <c:v>16.52</c:v>
                </c:pt>
                <c:pt idx="7">
                  <c:v>15.63</c:v>
                </c:pt>
                <c:pt idx="8">
                  <c:v>11.64</c:v>
                </c:pt>
                <c:pt idx="9">
                  <c:v>3.6539999999999999</c:v>
                </c:pt>
                <c:pt idx="10">
                  <c:v>0.3695</c:v>
                </c:pt>
                <c:pt idx="11">
                  <c:v>3.8199999999999998E-2</c:v>
                </c:pt>
                <c:pt idx="12">
                  <c:v>4.744E-3</c:v>
                </c:pt>
              </c:numCache>
            </c:numRef>
          </c:yVal>
          <c:smooth val="1"/>
          <c:extLst>
            <c:ext xmlns:c16="http://schemas.microsoft.com/office/drawing/2014/chart" uri="{C3380CC4-5D6E-409C-BE32-E72D297353CC}">
              <c16:uniqueId val="{00000000-BE25-4D70-8519-65B8CD681FC2}"/>
            </c:ext>
          </c:extLst>
        </c:ser>
        <c:ser>
          <c:idx val="0"/>
          <c:order val="1"/>
          <c:tx>
            <c:v>Ra-228</c:v>
          </c:tx>
          <c:xVal>
            <c:numRef>
              <c:f>'Dose vs Small Area (Low Conc.)'!$F$25:$F$37</c:f>
              <c:numCache>
                <c:formatCode>0.0000E+00</c:formatCode>
                <c:ptCount val="13"/>
                <c:pt idx="0">
                  <c:v>172999894.82939136</c:v>
                </c:pt>
                <c:pt idx="1">
                  <c:v>432499.73707347841</c:v>
                </c:pt>
                <c:pt idx="2">
                  <c:v>108124.9342683696</c:v>
                </c:pt>
                <c:pt idx="3">
                  <c:v>27031.2335670924</c:v>
                </c:pt>
                <c:pt idx="4">
                  <c:v>4324.9973707347835</c:v>
                </c:pt>
                <c:pt idx="5">
                  <c:v>270.31233567092397</c:v>
                </c:pt>
                <c:pt idx="6">
                  <c:v>172.99989482939137</c:v>
                </c:pt>
                <c:pt idx="7">
                  <c:v>43.249973707347841</c:v>
                </c:pt>
                <c:pt idx="8">
                  <c:v>10.81249342683696</c:v>
                </c:pt>
                <c:pt idx="9">
                  <c:v>0.43249973707347839</c:v>
                </c:pt>
                <c:pt idx="10">
                  <c:v>4.3249973707347837E-3</c:v>
                </c:pt>
                <c:pt idx="11">
                  <c:v>4.3249973707347843E-5</c:v>
                </c:pt>
                <c:pt idx="12">
                  <c:v>4.3249973707347845E-7</c:v>
                </c:pt>
              </c:numCache>
            </c:numRef>
          </c:xVal>
          <c:yVal>
            <c:numRef>
              <c:f>'Dose vs Small Area (Low Conc.)'!$G$25:$G$37</c:f>
              <c:numCache>
                <c:formatCode>0.0000E+00</c:formatCode>
                <c:ptCount val="13"/>
                <c:pt idx="0">
                  <c:v>7.5000000000000002E-4</c:v>
                </c:pt>
                <c:pt idx="1">
                  <c:v>0.18</c:v>
                </c:pt>
                <c:pt idx="2">
                  <c:v>0.47889999999999999</c:v>
                </c:pt>
                <c:pt idx="3">
                  <c:v>0.98750000000000004</c:v>
                </c:pt>
                <c:pt idx="4">
                  <c:v>2.0539999999999998</c:v>
                </c:pt>
                <c:pt idx="5">
                  <c:v>5.2460000000000004</c:v>
                </c:pt>
                <c:pt idx="6">
                  <c:v>5.9139999999999997</c:v>
                </c:pt>
                <c:pt idx="7">
                  <c:v>6.492</c:v>
                </c:pt>
                <c:pt idx="8">
                  <c:v>5.0860000000000003</c:v>
                </c:pt>
                <c:pt idx="9">
                  <c:v>1.722</c:v>
                </c:pt>
                <c:pt idx="10">
                  <c:v>0.18229999999999999</c:v>
                </c:pt>
                <c:pt idx="11">
                  <c:v>2.5649999999999999E-2</c:v>
                </c:pt>
                <c:pt idx="12">
                  <c:v>8.4259999999999995E-3</c:v>
                </c:pt>
              </c:numCache>
            </c:numRef>
          </c:yVal>
          <c:smooth val="1"/>
          <c:extLst>
            <c:ext xmlns:c16="http://schemas.microsoft.com/office/drawing/2014/chart" uri="{C3380CC4-5D6E-409C-BE32-E72D297353CC}">
              <c16:uniqueId val="{00000001-BE25-4D70-8519-65B8CD681FC2}"/>
            </c:ext>
          </c:extLst>
        </c:ser>
        <c:ser>
          <c:idx val="2"/>
          <c:order val="2"/>
          <c:tx>
            <c:v>Th-232</c:v>
          </c:tx>
          <c:xVal>
            <c:numRef>
              <c:f>'Dose vs Small Area (Low Conc.)'!$L$25:$L$37</c:f>
              <c:numCache>
                <c:formatCode>0.0000E+00</c:formatCode>
                <c:ptCount val="13"/>
                <c:pt idx="0">
                  <c:v>49428541.379826114</c:v>
                </c:pt>
                <c:pt idx="1">
                  <c:v>123571.35344956529</c:v>
                </c:pt>
                <c:pt idx="2">
                  <c:v>30892.838362391321</c:v>
                </c:pt>
                <c:pt idx="3">
                  <c:v>7723.2095905978304</c:v>
                </c:pt>
                <c:pt idx="4">
                  <c:v>1235.7135344956528</c:v>
                </c:pt>
                <c:pt idx="5">
                  <c:v>77.232095905978298</c:v>
                </c:pt>
                <c:pt idx="6">
                  <c:v>49.428541379826115</c:v>
                </c:pt>
                <c:pt idx="7">
                  <c:v>12.357135344956529</c:v>
                </c:pt>
                <c:pt idx="8">
                  <c:v>3.0892838362391322</c:v>
                </c:pt>
                <c:pt idx="9">
                  <c:v>0.12357135344956528</c:v>
                </c:pt>
                <c:pt idx="10">
                  <c:v>1.2357135344956531E-3</c:v>
                </c:pt>
                <c:pt idx="11">
                  <c:v>1.2357135344956529E-5</c:v>
                </c:pt>
                <c:pt idx="12">
                  <c:v>1.235713534495653E-7</c:v>
                </c:pt>
              </c:numCache>
            </c:numRef>
          </c:xVal>
          <c:yVal>
            <c:numRef>
              <c:f>'Dose vs Small Area (Low Conc.)'!$M$25:$M$37</c:f>
              <c:numCache>
                <c:formatCode>0.0000E+00</c:formatCode>
                <c:ptCount val="13"/>
                <c:pt idx="0">
                  <c:v>5.6800000000000004E-4</c:v>
                </c:pt>
                <c:pt idx="1">
                  <c:v>0.252</c:v>
                </c:pt>
                <c:pt idx="2">
                  <c:v>0.82599999999999996</c:v>
                </c:pt>
                <c:pt idx="3">
                  <c:v>2.3199999999999998</c:v>
                </c:pt>
                <c:pt idx="4">
                  <c:v>7.2</c:v>
                </c:pt>
                <c:pt idx="5">
                  <c:v>14.9</c:v>
                </c:pt>
                <c:pt idx="6">
                  <c:v>15</c:v>
                </c:pt>
                <c:pt idx="7">
                  <c:v>13</c:v>
                </c:pt>
                <c:pt idx="8">
                  <c:v>8.8699999999999992</c:v>
                </c:pt>
                <c:pt idx="9">
                  <c:v>3</c:v>
                </c:pt>
                <c:pt idx="10">
                  <c:v>0.39800000000000002</c:v>
                </c:pt>
                <c:pt idx="11">
                  <c:v>0.115</c:v>
                </c:pt>
                <c:pt idx="12">
                  <c:v>6.9500000000000006E-2</c:v>
                </c:pt>
              </c:numCache>
            </c:numRef>
          </c:yVal>
          <c:smooth val="1"/>
          <c:extLst>
            <c:ext xmlns:c16="http://schemas.microsoft.com/office/drawing/2014/chart" uri="{C3380CC4-5D6E-409C-BE32-E72D297353CC}">
              <c16:uniqueId val="{00000002-BE25-4D70-8519-65B8CD681FC2}"/>
            </c:ext>
          </c:extLst>
        </c:ser>
        <c:dLbls>
          <c:showLegendKey val="0"/>
          <c:showVal val="0"/>
          <c:showCatName val="0"/>
          <c:showSerName val="0"/>
          <c:showPercent val="0"/>
          <c:showBubbleSize val="0"/>
        </c:dLbls>
        <c:axId val="99577216"/>
        <c:axId val="99579392"/>
      </c:scatterChart>
      <c:valAx>
        <c:axId val="99577216"/>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99579392"/>
        <c:crosses val="autoZero"/>
        <c:crossBetween val="midCat"/>
      </c:valAx>
      <c:valAx>
        <c:axId val="99579392"/>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99577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Ra-226</c:v>
          </c:tx>
          <c:xVal>
            <c:numRef>
              <c:f>'Dose vs Small Area (High Conc.)'!$D$25:$D$37</c:f>
              <c:numCache>
                <c:formatCode>0.0000E+00</c:formatCode>
                <c:ptCount val="13"/>
                <c:pt idx="0">
                  <c:v>2306665264.3918848</c:v>
                </c:pt>
                <c:pt idx="1">
                  <c:v>5766663.1609797124</c:v>
                </c:pt>
                <c:pt idx="2">
                  <c:v>1441665.7902449281</c:v>
                </c:pt>
                <c:pt idx="3">
                  <c:v>360416.44756123202</c:v>
                </c:pt>
                <c:pt idx="4">
                  <c:v>57666.631609797128</c:v>
                </c:pt>
                <c:pt idx="5">
                  <c:v>3604.1644756123205</c:v>
                </c:pt>
                <c:pt idx="6">
                  <c:v>2306.6652643918851</c:v>
                </c:pt>
                <c:pt idx="7">
                  <c:v>576.66631609797128</c:v>
                </c:pt>
                <c:pt idx="8">
                  <c:v>144.16657902449282</c:v>
                </c:pt>
                <c:pt idx="9">
                  <c:v>5.7666631609797125</c:v>
                </c:pt>
                <c:pt idx="10">
                  <c:v>5.7666631609797125E-2</c:v>
                </c:pt>
                <c:pt idx="11">
                  <c:v>5.7666631609797124E-4</c:v>
                </c:pt>
                <c:pt idx="12">
                  <c:v>5.7666631609797126E-6</c:v>
                </c:pt>
              </c:numCache>
            </c:numRef>
          </c:xVal>
          <c:yVal>
            <c:numRef>
              <c:f>'Dose vs Small Area (High Conc.)'!$E$25:$E$37</c:f>
              <c:numCache>
                <c:formatCode>0.0000E+00</c:formatCode>
                <c:ptCount val="13"/>
                <c:pt idx="0">
                  <c:v>4.3899999999999998E-3</c:v>
                </c:pt>
                <c:pt idx="1">
                  <c:v>8.0119999999999997E-2</c:v>
                </c:pt>
                <c:pt idx="2">
                  <c:v>0.28470000000000001</c:v>
                </c:pt>
                <c:pt idx="3">
                  <c:v>1.0780000000000001</c:v>
                </c:pt>
                <c:pt idx="4">
                  <c:v>5.9470000000000001</c:v>
                </c:pt>
                <c:pt idx="5">
                  <c:v>15.45</c:v>
                </c:pt>
                <c:pt idx="6">
                  <c:v>17.12</c:v>
                </c:pt>
                <c:pt idx="7">
                  <c:v>21.62</c:v>
                </c:pt>
                <c:pt idx="8">
                  <c:v>24.65</c:v>
                </c:pt>
                <c:pt idx="9">
                  <c:v>23.15</c:v>
                </c:pt>
                <c:pt idx="10">
                  <c:v>3.67</c:v>
                </c:pt>
                <c:pt idx="11">
                  <c:v>0.38150000000000001</c:v>
                </c:pt>
                <c:pt idx="12">
                  <c:v>4.7449999999999999E-2</c:v>
                </c:pt>
              </c:numCache>
            </c:numRef>
          </c:yVal>
          <c:smooth val="1"/>
          <c:extLst>
            <c:ext xmlns:c16="http://schemas.microsoft.com/office/drawing/2014/chart" uri="{C3380CC4-5D6E-409C-BE32-E72D297353CC}">
              <c16:uniqueId val="{00000000-916D-4A79-8548-FAA361C57ECA}"/>
            </c:ext>
          </c:extLst>
        </c:ser>
        <c:ser>
          <c:idx val="0"/>
          <c:order val="1"/>
          <c:tx>
            <c:v>Ra-228</c:v>
          </c:tx>
          <c:xVal>
            <c:numRef>
              <c:f>'Dose vs Small Area (High Conc.)'!$F$25:$F$37</c:f>
              <c:numCache>
                <c:formatCode>0.0000E+00</c:formatCode>
                <c:ptCount val="13"/>
                <c:pt idx="0">
                  <c:v>1729998948.2939138</c:v>
                </c:pt>
                <c:pt idx="1">
                  <c:v>4324997.3707347838</c:v>
                </c:pt>
                <c:pt idx="2">
                  <c:v>1081249.342683696</c:v>
                </c:pt>
                <c:pt idx="3">
                  <c:v>270312.33567092399</c:v>
                </c:pt>
                <c:pt idx="4">
                  <c:v>43249.973707347839</c:v>
                </c:pt>
                <c:pt idx="5">
                  <c:v>2703.1233567092399</c:v>
                </c:pt>
                <c:pt idx="6">
                  <c:v>1729.9989482939136</c:v>
                </c:pt>
                <c:pt idx="7">
                  <c:v>432.4997370734784</c:v>
                </c:pt>
                <c:pt idx="8">
                  <c:v>108.1249342683696</c:v>
                </c:pt>
                <c:pt idx="9">
                  <c:v>4.324997370734784</c:v>
                </c:pt>
                <c:pt idx="10">
                  <c:v>4.3249973707347851E-2</c:v>
                </c:pt>
                <c:pt idx="11">
                  <c:v>4.324997370734784E-4</c:v>
                </c:pt>
                <c:pt idx="12">
                  <c:v>4.3249973707347846E-6</c:v>
                </c:pt>
              </c:numCache>
            </c:numRef>
          </c:xVal>
          <c:yVal>
            <c:numRef>
              <c:f>'Dose vs Small Area (High Conc.)'!$G$25:$G$37</c:f>
              <c:numCache>
                <c:formatCode>0.0000E+00</c:formatCode>
                <c:ptCount val="13"/>
                <c:pt idx="0">
                  <c:v>6.6E-4</c:v>
                </c:pt>
                <c:pt idx="1">
                  <c:v>1.7999999999999999E-2</c:v>
                </c:pt>
                <c:pt idx="2">
                  <c:v>6.08E-2</c:v>
                </c:pt>
                <c:pt idx="3">
                  <c:v>0.214</c:v>
                </c:pt>
                <c:pt idx="4">
                  <c:v>1.03</c:v>
                </c:pt>
                <c:pt idx="5">
                  <c:v>4.8099999999999996</c:v>
                </c:pt>
                <c:pt idx="6">
                  <c:v>5.74</c:v>
                </c:pt>
                <c:pt idx="7">
                  <c:v>8.5</c:v>
                </c:pt>
                <c:pt idx="8">
                  <c:v>12.2</c:v>
                </c:pt>
                <c:pt idx="9">
                  <c:v>13.4</c:v>
                </c:pt>
                <c:pt idx="10">
                  <c:v>1.82</c:v>
                </c:pt>
                <c:pt idx="11">
                  <c:v>0.25600000000000001</c:v>
                </c:pt>
                <c:pt idx="12">
                  <c:v>8.43E-2</c:v>
                </c:pt>
              </c:numCache>
            </c:numRef>
          </c:yVal>
          <c:smooth val="1"/>
          <c:extLst>
            <c:ext xmlns:c16="http://schemas.microsoft.com/office/drawing/2014/chart" uri="{C3380CC4-5D6E-409C-BE32-E72D297353CC}">
              <c16:uniqueId val="{00000001-916D-4A79-8548-FAA361C57ECA}"/>
            </c:ext>
          </c:extLst>
        </c:ser>
        <c:ser>
          <c:idx val="2"/>
          <c:order val="2"/>
          <c:tx>
            <c:v>Th-232</c:v>
          </c:tx>
          <c:xVal>
            <c:numRef>
              <c:f>'Dose vs Small Area (High Conc.)'!$L$25:$L$37</c:f>
              <c:numCache>
                <c:formatCode>0.0000E+00</c:formatCode>
                <c:ptCount val="13"/>
                <c:pt idx="0">
                  <c:v>108742791.03561741</c:v>
                </c:pt>
                <c:pt idx="1">
                  <c:v>271856.97758904356</c:v>
                </c:pt>
                <c:pt idx="2">
                  <c:v>67964.244397260889</c:v>
                </c:pt>
                <c:pt idx="3">
                  <c:v>16991.061099315222</c:v>
                </c:pt>
                <c:pt idx="4">
                  <c:v>2718.5697758904353</c:v>
                </c:pt>
                <c:pt idx="5">
                  <c:v>169.9106109931522</c:v>
                </c:pt>
                <c:pt idx="6">
                  <c:v>108.74279103561742</c:v>
                </c:pt>
                <c:pt idx="7">
                  <c:v>27.185697758904354</c:v>
                </c:pt>
                <c:pt idx="8">
                  <c:v>6.7964244397260885</c:v>
                </c:pt>
                <c:pt idx="9">
                  <c:v>0.27185697758904354</c:v>
                </c:pt>
                <c:pt idx="10">
                  <c:v>2.7185697758904358E-3</c:v>
                </c:pt>
                <c:pt idx="11">
                  <c:v>2.7185697758904354E-5</c:v>
                </c:pt>
                <c:pt idx="12">
                  <c:v>2.7185697758904354E-7</c:v>
                </c:pt>
              </c:numCache>
            </c:numRef>
          </c:xVal>
          <c:yVal>
            <c:numRef>
              <c:f>'Dose vs Small Area (High Conc.)'!$M$25:$M$37</c:f>
              <c:numCache>
                <c:formatCode>0.0000E+00</c:formatCode>
                <c:ptCount val="13"/>
                <c:pt idx="0">
                  <c:v>2.12E-4</c:v>
                </c:pt>
                <c:pt idx="1">
                  <c:v>0.11</c:v>
                </c:pt>
                <c:pt idx="2">
                  <c:v>0.38300000000000001</c:v>
                </c:pt>
                <c:pt idx="3">
                  <c:v>1.29</c:v>
                </c:pt>
                <c:pt idx="4">
                  <c:v>5.08</c:v>
                </c:pt>
                <c:pt idx="5">
                  <c:v>20.6</c:v>
                </c:pt>
                <c:pt idx="6">
                  <c:v>24</c:v>
                </c:pt>
                <c:pt idx="7">
                  <c:v>24.7</c:v>
                </c:pt>
                <c:pt idx="8">
                  <c:v>18.899999999999999</c:v>
                </c:pt>
                <c:pt idx="9">
                  <c:v>6.57</c:v>
                </c:pt>
                <c:pt idx="10">
                  <c:v>0.876</c:v>
                </c:pt>
                <c:pt idx="11">
                  <c:v>0.253</c:v>
                </c:pt>
                <c:pt idx="12">
                  <c:v>0.153</c:v>
                </c:pt>
              </c:numCache>
            </c:numRef>
          </c:yVal>
          <c:smooth val="1"/>
          <c:extLst>
            <c:ext xmlns:c16="http://schemas.microsoft.com/office/drawing/2014/chart" uri="{C3380CC4-5D6E-409C-BE32-E72D297353CC}">
              <c16:uniqueId val="{00000002-916D-4A79-8548-FAA361C57ECA}"/>
            </c:ext>
          </c:extLst>
        </c:ser>
        <c:dLbls>
          <c:showLegendKey val="0"/>
          <c:showVal val="0"/>
          <c:showCatName val="0"/>
          <c:showSerName val="0"/>
          <c:showPercent val="0"/>
          <c:showBubbleSize val="0"/>
        </c:dLbls>
        <c:axId val="103469440"/>
        <c:axId val="103471360"/>
      </c:scatterChart>
      <c:valAx>
        <c:axId val="103469440"/>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471360"/>
        <c:crosses val="autoZero"/>
        <c:crossBetween val="midCat"/>
      </c:valAx>
      <c:valAx>
        <c:axId val="103471360"/>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34694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Th-230</c:v>
          </c:tx>
          <c:xVal>
            <c:numRef>
              <c:f>'Dose vs Small Area (High Conc.)'!$J$25:$J$37</c:f>
              <c:numCache>
                <c:formatCode>0.0000E+00</c:formatCode>
                <c:ptCount val="13"/>
                <c:pt idx="0">
                  <c:v>172999894829.39136</c:v>
                </c:pt>
                <c:pt idx="1">
                  <c:v>432499737.0734784</c:v>
                </c:pt>
                <c:pt idx="2">
                  <c:v>108124934.2683696</c:v>
                </c:pt>
                <c:pt idx="3">
                  <c:v>27031233.5670924</c:v>
                </c:pt>
                <c:pt idx="4">
                  <c:v>4324997.3707347838</c:v>
                </c:pt>
                <c:pt idx="5">
                  <c:v>270312.33567092399</c:v>
                </c:pt>
                <c:pt idx="6">
                  <c:v>172999.89482939136</c:v>
                </c:pt>
                <c:pt idx="7">
                  <c:v>43249.973707347839</c:v>
                </c:pt>
                <c:pt idx="8">
                  <c:v>10812.49342683696</c:v>
                </c:pt>
                <c:pt idx="9">
                  <c:v>432.4997370734784</c:v>
                </c:pt>
                <c:pt idx="10">
                  <c:v>4.3249973707347849</c:v>
                </c:pt>
                <c:pt idx="11">
                  <c:v>4.3249973707347844E-2</c:v>
                </c:pt>
                <c:pt idx="12">
                  <c:v>4.324997370734784E-4</c:v>
                </c:pt>
              </c:numCache>
            </c:numRef>
          </c:xVal>
          <c:yVal>
            <c:numRef>
              <c:f>'Dose vs Small Area (High Conc.)'!$K$25:$K$37</c:f>
              <c:numCache>
                <c:formatCode>0.0000E+00</c:formatCode>
                <c:ptCount val="13"/>
                <c:pt idx="0">
                  <c:v>1.95E-6</c:v>
                </c:pt>
                <c:pt idx="1">
                  <c:v>1.59E-6</c:v>
                </c:pt>
                <c:pt idx="2">
                  <c:v>1.42E-6</c:v>
                </c:pt>
                <c:pt idx="3">
                  <c:v>1.1000000000000001E-6</c:v>
                </c:pt>
                <c:pt idx="4">
                  <c:v>1.9700000000000002E-6</c:v>
                </c:pt>
                <c:pt idx="5">
                  <c:v>1.34E-5</c:v>
                </c:pt>
                <c:pt idx="6">
                  <c:v>1.98E-5</c:v>
                </c:pt>
                <c:pt idx="7">
                  <c:v>6.8200000000000004E-5</c:v>
                </c:pt>
                <c:pt idx="8">
                  <c:v>2.3499999999999999E-4</c:v>
                </c:pt>
                <c:pt idx="9">
                  <c:v>3.0100000000000001E-3</c:v>
                </c:pt>
                <c:pt idx="10">
                  <c:v>2.76E-2</c:v>
                </c:pt>
                <c:pt idx="11">
                  <c:v>0.14499999999999999</c:v>
                </c:pt>
                <c:pt idx="12">
                  <c:v>0.115</c:v>
                </c:pt>
              </c:numCache>
            </c:numRef>
          </c:yVal>
          <c:smooth val="1"/>
          <c:extLst>
            <c:ext xmlns:c16="http://schemas.microsoft.com/office/drawing/2014/chart" uri="{C3380CC4-5D6E-409C-BE32-E72D297353CC}">
              <c16:uniqueId val="{00000000-7EEF-46F5-8F8C-88129EFD4734}"/>
            </c:ext>
          </c:extLst>
        </c:ser>
        <c:ser>
          <c:idx val="0"/>
          <c:order val="1"/>
          <c:tx>
            <c:v>Th-228</c:v>
          </c:tx>
          <c:xVal>
            <c:numRef>
              <c:f>'Dose vs Small Area (High Conc.)'!$H$25:$H$37</c:f>
              <c:numCache>
                <c:formatCode>0.0000E+00</c:formatCode>
                <c:ptCount val="13"/>
                <c:pt idx="0">
                  <c:v>172999894829.39136</c:v>
                </c:pt>
                <c:pt idx="1">
                  <c:v>432499737.0734784</c:v>
                </c:pt>
                <c:pt idx="2">
                  <c:v>108124934.2683696</c:v>
                </c:pt>
                <c:pt idx="3">
                  <c:v>27031233.5670924</c:v>
                </c:pt>
                <c:pt idx="4">
                  <c:v>4324997.3707347838</c:v>
                </c:pt>
                <c:pt idx="5">
                  <c:v>270312.33567092399</c:v>
                </c:pt>
                <c:pt idx="6">
                  <c:v>172999.89482939136</c:v>
                </c:pt>
                <c:pt idx="7">
                  <c:v>43249.973707347839</c:v>
                </c:pt>
                <c:pt idx="8">
                  <c:v>10812.49342683696</c:v>
                </c:pt>
                <c:pt idx="9">
                  <c:v>432.4997370734784</c:v>
                </c:pt>
                <c:pt idx="10">
                  <c:v>4.3249973707347849</c:v>
                </c:pt>
                <c:pt idx="11">
                  <c:v>4.3249973707347844E-2</c:v>
                </c:pt>
                <c:pt idx="12">
                  <c:v>4.324997370734784E-4</c:v>
                </c:pt>
              </c:numCache>
            </c:numRef>
          </c:xVal>
          <c:yVal>
            <c:numRef>
              <c:f>'Dose vs Small Area (High Conc.)'!$I$25:$I$37</c:f>
              <c:numCache>
                <c:formatCode>0.0000E+00</c:formatCode>
                <c:ptCount val="13"/>
                <c:pt idx="0">
                  <c:v>9.1200000000000005E-4</c:v>
                </c:pt>
                <c:pt idx="1">
                  <c:v>5.6800000000000004E-4</c:v>
                </c:pt>
                <c:pt idx="2">
                  <c:v>4.9100000000000001E-4</c:v>
                </c:pt>
                <c:pt idx="3">
                  <c:v>4.1599999999999997E-4</c:v>
                </c:pt>
                <c:pt idx="4">
                  <c:v>7.6199999999999998E-4</c:v>
                </c:pt>
                <c:pt idx="5">
                  <c:v>4.13E-3</c:v>
                </c:pt>
                <c:pt idx="6">
                  <c:v>5.8500000000000002E-3</c:v>
                </c:pt>
                <c:pt idx="7">
                  <c:v>1.6199999999999999E-2</c:v>
                </c:pt>
                <c:pt idx="8">
                  <c:v>4.0599999999999997E-2</c:v>
                </c:pt>
                <c:pt idx="9">
                  <c:v>0.17799999999999999</c:v>
                </c:pt>
                <c:pt idx="10">
                  <c:v>0.219</c:v>
                </c:pt>
                <c:pt idx="11">
                  <c:v>0.245</c:v>
                </c:pt>
                <c:pt idx="12">
                  <c:v>0.11899999999999999</c:v>
                </c:pt>
              </c:numCache>
            </c:numRef>
          </c:yVal>
          <c:smooth val="1"/>
          <c:extLst>
            <c:ext xmlns:c16="http://schemas.microsoft.com/office/drawing/2014/chart" uri="{C3380CC4-5D6E-409C-BE32-E72D297353CC}">
              <c16:uniqueId val="{00000001-7EEF-46F5-8F8C-88129EFD4734}"/>
            </c:ext>
          </c:extLst>
        </c:ser>
        <c:ser>
          <c:idx val="2"/>
          <c:order val="2"/>
          <c:tx>
            <c:v>Pb-210</c:v>
          </c:tx>
          <c:xVal>
            <c:numRef>
              <c:f>'Dose vs Small Area (High Conc.)'!$B$25:$B$37</c:f>
              <c:numCache>
                <c:formatCode>0.0000E+00</c:formatCode>
                <c:ptCount val="13"/>
                <c:pt idx="0">
                  <c:v>17299989482.939137</c:v>
                </c:pt>
                <c:pt idx="1">
                  <c:v>43249973.707347848</c:v>
                </c:pt>
                <c:pt idx="2">
                  <c:v>10812493.426836962</c:v>
                </c:pt>
                <c:pt idx="3">
                  <c:v>2703123.3567092405</c:v>
                </c:pt>
                <c:pt idx="4">
                  <c:v>432499.73707347846</c:v>
                </c:pt>
                <c:pt idx="5">
                  <c:v>27031.233567092404</c:v>
                </c:pt>
                <c:pt idx="6">
                  <c:v>17299.989482939134</c:v>
                </c:pt>
                <c:pt idx="7">
                  <c:v>4324.9973707347835</c:v>
                </c:pt>
                <c:pt idx="8">
                  <c:v>1081.2493426836959</c:v>
                </c:pt>
                <c:pt idx="9">
                  <c:v>43.249973707347841</c:v>
                </c:pt>
                <c:pt idx="10">
                  <c:v>0.4324997370734785</c:v>
                </c:pt>
                <c:pt idx="11">
                  <c:v>4.3249973707347846E-3</c:v>
                </c:pt>
                <c:pt idx="12">
                  <c:v>4.3249973707347843E-5</c:v>
                </c:pt>
              </c:numCache>
            </c:numRef>
          </c:xVal>
          <c:yVal>
            <c:numRef>
              <c:f>'Dose vs Small Area (High Conc.)'!$C$25:$C$37</c:f>
              <c:numCache>
                <c:formatCode>0.0000E+00</c:formatCode>
                <c:ptCount val="13"/>
                <c:pt idx="0">
                  <c:v>6.8999999999999997E-5</c:v>
                </c:pt>
                <c:pt idx="1">
                  <c:v>1.2999999999999999E-4</c:v>
                </c:pt>
                <c:pt idx="2">
                  <c:v>1.34E-4</c:v>
                </c:pt>
                <c:pt idx="3">
                  <c:v>1.5799999999999999E-4</c:v>
                </c:pt>
                <c:pt idx="4">
                  <c:v>3.6099999999999999E-4</c:v>
                </c:pt>
                <c:pt idx="5">
                  <c:v>1.75E-3</c:v>
                </c:pt>
                <c:pt idx="6">
                  <c:v>2.2499999999999998E-3</c:v>
                </c:pt>
                <c:pt idx="7">
                  <c:v>4.4799999999999996E-3</c:v>
                </c:pt>
                <c:pt idx="8">
                  <c:v>7.2399999999999999E-3</c:v>
                </c:pt>
                <c:pt idx="9">
                  <c:v>1.23E-2</c:v>
                </c:pt>
                <c:pt idx="10">
                  <c:v>1.9199999999999998E-2</c:v>
                </c:pt>
                <c:pt idx="11">
                  <c:v>1.1900000000000001E-2</c:v>
                </c:pt>
                <c:pt idx="12">
                  <c:v>7.8399999999999997E-3</c:v>
                </c:pt>
              </c:numCache>
            </c:numRef>
          </c:yVal>
          <c:smooth val="1"/>
          <c:extLst>
            <c:ext xmlns:c16="http://schemas.microsoft.com/office/drawing/2014/chart" uri="{C3380CC4-5D6E-409C-BE32-E72D297353CC}">
              <c16:uniqueId val="{00000002-7EEF-46F5-8F8C-88129EFD4734}"/>
            </c:ext>
          </c:extLst>
        </c:ser>
        <c:ser>
          <c:idx val="3"/>
          <c:order val="3"/>
          <c:tx>
            <c:v>U-234</c:v>
          </c:tx>
          <c:xVal>
            <c:numRef>
              <c:f>'Dose vs Small Area (High Conc.)'!$R$25:$R$38</c:f>
              <c:numCache>
                <c:formatCode>0.0000E+00</c:formatCode>
                <c:ptCount val="14"/>
                <c:pt idx="0">
                  <c:v>1528165737659.6233</c:v>
                </c:pt>
                <c:pt idx="1">
                  <c:v>3820414344.1490583</c:v>
                </c:pt>
                <c:pt idx="2">
                  <c:v>955103586.03726459</c:v>
                </c:pt>
                <c:pt idx="3">
                  <c:v>238775896.50931615</c:v>
                </c:pt>
                <c:pt idx="4">
                  <c:v>38204143.441490583</c:v>
                </c:pt>
                <c:pt idx="5">
                  <c:v>2387758.9650931614</c:v>
                </c:pt>
                <c:pt idx="6">
                  <c:v>1528165.7376596231</c:v>
                </c:pt>
                <c:pt idx="7">
                  <c:v>382041.43441490579</c:v>
                </c:pt>
                <c:pt idx="8">
                  <c:v>95510.358603726447</c:v>
                </c:pt>
                <c:pt idx="9">
                  <c:v>3820.4143441490583</c:v>
                </c:pt>
                <c:pt idx="10">
                  <c:v>38.204143441490586</c:v>
                </c:pt>
                <c:pt idx="11">
                  <c:v>0.38204143441490584</c:v>
                </c:pt>
                <c:pt idx="12">
                  <c:v>3.8204143441490585E-3</c:v>
                </c:pt>
                <c:pt idx="13">
                  <c:v>3.8204143441490587E-5</c:v>
                </c:pt>
              </c:numCache>
            </c:numRef>
          </c:xVal>
          <c:yVal>
            <c:numRef>
              <c:f>'Dose vs Small Area (High Conc.)'!$S$25:$S$38</c:f>
              <c:numCache>
                <c:formatCode>0.0000E+00</c:formatCode>
                <c:ptCount val="14"/>
                <c:pt idx="0">
                  <c:v>8.8099999999999995E-4</c:v>
                </c:pt>
                <c:pt idx="1">
                  <c:v>6.8199999999999999E-4</c:v>
                </c:pt>
                <c:pt idx="2">
                  <c:v>5.4799999999999998E-4</c:v>
                </c:pt>
                <c:pt idx="3">
                  <c:v>2.6899999999999998E-4</c:v>
                </c:pt>
                <c:pt idx="4">
                  <c:v>1.06E-4</c:v>
                </c:pt>
                <c:pt idx="5">
                  <c:v>2.76E-5</c:v>
                </c:pt>
                <c:pt idx="6">
                  <c:v>2.76E-5</c:v>
                </c:pt>
                <c:pt idx="7">
                  <c:v>2.76E-5</c:v>
                </c:pt>
                <c:pt idx="8">
                  <c:v>2.76E-5</c:v>
                </c:pt>
                <c:pt idx="9">
                  <c:v>6.58E-5</c:v>
                </c:pt>
                <c:pt idx="10">
                  <c:v>3.7000000000000002E-3</c:v>
                </c:pt>
                <c:pt idx="11">
                  <c:v>7.6300000000000007E-2</c:v>
                </c:pt>
                <c:pt idx="12">
                  <c:v>0.38500000000000001</c:v>
                </c:pt>
                <c:pt idx="13">
                  <c:v>0.30099999999999999</c:v>
                </c:pt>
              </c:numCache>
            </c:numRef>
          </c:yVal>
          <c:smooth val="1"/>
          <c:extLst>
            <c:ext xmlns:c16="http://schemas.microsoft.com/office/drawing/2014/chart" uri="{C3380CC4-5D6E-409C-BE32-E72D297353CC}">
              <c16:uniqueId val="{00000003-7EEF-46F5-8F8C-88129EFD4734}"/>
            </c:ext>
          </c:extLst>
        </c:ser>
        <c:ser>
          <c:idx val="4"/>
          <c:order val="4"/>
          <c:tx>
            <c:v>U-235</c:v>
          </c:tx>
          <c:xVal>
            <c:numRef>
              <c:f>'Dose vs Small Area (High Conc.)'!$P$25:$P$38</c:f>
              <c:numCache>
                <c:formatCode>0.0000E+00</c:formatCode>
                <c:ptCount val="14"/>
                <c:pt idx="0">
                  <c:v>1528165737659.6233</c:v>
                </c:pt>
                <c:pt idx="1">
                  <c:v>3820414344.1490583</c:v>
                </c:pt>
                <c:pt idx="2">
                  <c:v>955103586.03726459</c:v>
                </c:pt>
                <c:pt idx="3">
                  <c:v>238775896.50931615</c:v>
                </c:pt>
                <c:pt idx="4">
                  <c:v>38204143.441490583</c:v>
                </c:pt>
                <c:pt idx="5">
                  <c:v>2387758.9650931614</c:v>
                </c:pt>
                <c:pt idx="6">
                  <c:v>1528165.7376596231</c:v>
                </c:pt>
                <c:pt idx="7">
                  <c:v>382041.43441490579</c:v>
                </c:pt>
                <c:pt idx="8">
                  <c:v>95510.358603726447</c:v>
                </c:pt>
                <c:pt idx="9">
                  <c:v>3820.4143441490583</c:v>
                </c:pt>
                <c:pt idx="10">
                  <c:v>38.204143441490586</c:v>
                </c:pt>
                <c:pt idx="11">
                  <c:v>0.38204143441490584</c:v>
                </c:pt>
                <c:pt idx="12">
                  <c:v>3.8204143441490585E-3</c:v>
                </c:pt>
                <c:pt idx="13">
                  <c:v>3.8204143441490587E-5</c:v>
                </c:pt>
              </c:numCache>
            </c:numRef>
          </c:xVal>
          <c:yVal>
            <c:numRef>
              <c:f>'Dose vs Small Area (High Conc.)'!$Q$25:$Q$38</c:f>
              <c:numCache>
                <c:formatCode>0.0000E+00</c:formatCode>
                <c:ptCount val="14"/>
                <c:pt idx="0">
                  <c:v>3.6600000000000001E-3</c:v>
                </c:pt>
                <c:pt idx="1">
                  <c:v>2.82E-3</c:v>
                </c:pt>
                <c:pt idx="2">
                  <c:v>2.2599999999999999E-3</c:v>
                </c:pt>
                <c:pt idx="3">
                  <c:v>1.1100000000000001E-3</c:v>
                </c:pt>
                <c:pt idx="4">
                  <c:v>4.3899999999999999E-4</c:v>
                </c:pt>
                <c:pt idx="5">
                  <c:v>2.05E-4</c:v>
                </c:pt>
                <c:pt idx="6">
                  <c:v>2.3599999999999999E-4</c:v>
                </c:pt>
                <c:pt idx="7">
                  <c:v>3.3599999999999998E-4</c:v>
                </c:pt>
                <c:pt idx="8">
                  <c:v>4.37E-4</c:v>
                </c:pt>
                <c:pt idx="9">
                  <c:v>1.1000000000000001E-3</c:v>
                </c:pt>
                <c:pt idx="10">
                  <c:v>1.2200000000000001E-2</c:v>
                </c:pt>
                <c:pt idx="11">
                  <c:v>9.3100000000000002E-2</c:v>
                </c:pt>
                <c:pt idx="12">
                  <c:v>0.371</c:v>
                </c:pt>
                <c:pt idx="13">
                  <c:v>0.28199999999999997</c:v>
                </c:pt>
              </c:numCache>
            </c:numRef>
          </c:yVal>
          <c:smooth val="1"/>
          <c:extLst>
            <c:ext xmlns:c16="http://schemas.microsoft.com/office/drawing/2014/chart" uri="{C3380CC4-5D6E-409C-BE32-E72D297353CC}">
              <c16:uniqueId val="{00000004-7EEF-46F5-8F8C-88129EFD4734}"/>
            </c:ext>
          </c:extLst>
        </c:ser>
        <c:dLbls>
          <c:showLegendKey val="0"/>
          <c:showVal val="0"/>
          <c:showCatName val="0"/>
          <c:showSerName val="0"/>
          <c:showPercent val="0"/>
          <c:showBubbleSize val="0"/>
        </c:dLbls>
        <c:axId val="103384576"/>
        <c:axId val="103386496"/>
      </c:scatterChart>
      <c:valAx>
        <c:axId val="103384576"/>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386496"/>
        <c:crossesAt val="1.0000000000000002E-4"/>
        <c:crossBetween val="midCat"/>
      </c:valAx>
      <c:valAx>
        <c:axId val="10338649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0E+00" sourceLinked="0"/>
        <c:majorTickMark val="out"/>
        <c:minorTickMark val="none"/>
        <c:tickLblPos val="low"/>
        <c:txPr>
          <a:bodyPr/>
          <a:lstStyle/>
          <a:p>
            <a:pPr>
              <a:defRPr sz="1100" b="0">
                <a:solidFill>
                  <a:schemeClr val="tx2">
                    <a:lumMod val="50000"/>
                  </a:schemeClr>
                </a:solidFill>
              </a:defRPr>
            </a:pPr>
            <a:endParaRPr lang="en-US"/>
          </a:p>
        </c:txPr>
        <c:crossAx val="1033845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K-40</c:v>
          </c:tx>
          <c:xVal>
            <c:numRef>
              <c:f>'Dose vs Small Area (High Conc.)'!$T$25:$T$37</c:f>
              <c:numCache>
                <c:formatCode>0.0000E+00</c:formatCode>
                <c:ptCount val="13"/>
                <c:pt idx="0">
                  <c:v>10812493426.83696</c:v>
                </c:pt>
                <c:pt idx="1">
                  <c:v>27031233.5670924</c:v>
                </c:pt>
                <c:pt idx="2">
                  <c:v>6757808.3917731</c:v>
                </c:pt>
                <c:pt idx="3">
                  <c:v>1689452.097943275</c:v>
                </c:pt>
                <c:pt idx="4">
                  <c:v>270312.33567092399</c:v>
                </c:pt>
                <c:pt idx="5">
                  <c:v>16894.520979432749</c:v>
                </c:pt>
                <c:pt idx="6">
                  <c:v>10812.49342683696</c:v>
                </c:pt>
                <c:pt idx="7">
                  <c:v>2703.1233567092399</c:v>
                </c:pt>
                <c:pt idx="8">
                  <c:v>675.78083917730999</c:v>
                </c:pt>
                <c:pt idx="9">
                  <c:v>27.0312335670924</c:v>
                </c:pt>
                <c:pt idx="10">
                  <c:v>0.27031233567092405</c:v>
                </c:pt>
                <c:pt idx="11">
                  <c:v>2.7031233567092403E-3</c:v>
                </c:pt>
                <c:pt idx="12">
                  <c:v>2.70312335670924E-5</c:v>
                </c:pt>
              </c:numCache>
            </c:numRef>
          </c:xVal>
          <c:yVal>
            <c:numRef>
              <c:f>'Dose vs Small Area (High Conc.)'!$U$25:$U$37</c:f>
              <c:numCache>
                <c:formatCode>0.0000E+00</c:formatCode>
                <c:ptCount val="13"/>
                <c:pt idx="0">
                  <c:v>5.1299999999999998E-2</c:v>
                </c:pt>
                <c:pt idx="1">
                  <c:v>0.03</c:v>
                </c:pt>
                <c:pt idx="2">
                  <c:v>3.5400000000000001E-2</c:v>
                </c:pt>
                <c:pt idx="3">
                  <c:v>5.9799999999999999E-2</c:v>
                </c:pt>
                <c:pt idx="4">
                  <c:v>0.11799999999999999</c:v>
                </c:pt>
                <c:pt idx="5">
                  <c:v>0.28799999999999998</c:v>
                </c:pt>
                <c:pt idx="6">
                  <c:v>0.33200000000000002</c:v>
                </c:pt>
                <c:pt idx="7">
                  <c:v>0.57299999999999995</c:v>
                </c:pt>
                <c:pt idx="8">
                  <c:v>1.29</c:v>
                </c:pt>
                <c:pt idx="9">
                  <c:v>8.59</c:v>
                </c:pt>
                <c:pt idx="10">
                  <c:v>24.4</c:v>
                </c:pt>
                <c:pt idx="11">
                  <c:v>4.8899999999999997</c:v>
                </c:pt>
                <c:pt idx="12">
                  <c:v>0.5</c:v>
                </c:pt>
              </c:numCache>
            </c:numRef>
          </c:yVal>
          <c:smooth val="1"/>
          <c:extLst>
            <c:ext xmlns:c16="http://schemas.microsoft.com/office/drawing/2014/chart" uri="{C3380CC4-5D6E-409C-BE32-E72D297353CC}">
              <c16:uniqueId val="{00000000-EF70-4EE7-A09C-062ED7B0CA73}"/>
            </c:ext>
          </c:extLst>
        </c:ser>
        <c:dLbls>
          <c:showLegendKey val="0"/>
          <c:showVal val="0"/>
          <c:showCatName val="0"/>
          <c:showSerName val="0"/>
          <c:showPercent val="0"/>
          <c:showBubbleSize val="0"/>
        </c:dLbls>
        <c:axId val="103423360"/>
        <c:axId val="103425536"/>
      </c:scatterChart>
      <c:valAx>
        <c:axId val="103423360"/>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425536"/>
        <c:crosses val="autoZero"/>
        <c:crossBetween val="midCat"/>
        <c:majorUnit val="100"/>
      </c:valAx>
      <c:valAx>
        <c:axId val="10342553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34233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U-238</c:v>
          </c:tx>
          <c:xVal>
            <c:numRef>
              <c:f>'Dose vs Small Area (High Conc.)'!$N$25:$N$37</c:f>
              <c:numCache>
                <c:formatCode>0.0000E+00</c:formatCode>
                <c:ptCount val="13"/>
                <c:pt idx="0">
                  <c:v>951499421.56165218</c:v>
                </c:pt>
                <c:pt idx="1">
                  <c:v>2378748.5539041306</c:v>
                </c:pt>
                <c:pt idx="2">
                  <c:v>594687.13847603265</c:v>
                </c:pt>
                <c:pt idx="3">
                  <c:v>148671.78461900816</c:v>
                </c:pt>
                <c:pt idx="4">
                  <c:v>23787.485539041303</c:v>
                </c:pt>
                <c:pt idx="5">
                  <c:v>1486.7178461900814</c:v>
                </c:pt>
                <c:pt idx="6">
                  <c:v>951.49942156165218</c:v>
                </c:pt>
                <c:pt idx="7">
                  <c:v>237.87485539041305</c:v>
                </c:pt>
                <c:pt idx="8">
                  <c:v>59.468713847603262</c:v>
                </c:pt>
                <c:pt idx="9">
                  <c:v>2.3787485539041304</c:v>
                </c:pt>
                <c:pt idx="10">
                  <c:v>2.3787485539041309E-2</c:v>
                </c:pt>
                <c:pt idx="11">
                  <c:v>2.3787485539041308E-4</c:v>
                </c:pt>
                <c:pt idx="12">
                  <c:v>2.3787485539041306E-6</c:v>
                </c:pt>
              </c:numCache>
            </c:numRef>
          </c:xVal>
          <c:yVal>
            <c:numRef>
              <c:f>'Dose vs Small Area (High Conc.)'!$O$25:$O$37</c:f>
              <c:numCache>
                <c:formatCode>0.0000E+00</c:formatCode>
                <c:ptCount val="13"/>
                <c:pt idx="0">
                  <c:v>1.81E-3</c:v>
                </c:pt>
                <c:pt idx="1">
                  <c:v>2.7799999999999998E-2</c:v>
                </c:pt>
                <c:pt idx="2">
                  <c:v>2.6800000000000001E-2</c:v>
                </c:pt>
                <c:pt idx="3">
                  <c:v>7.9299999999999995E-2</c:v>
                </c:pt>
                <c:pt idx="4">
                  <c:v>0.33300000000000002</c:v>
                </c:pt>
                <c:pt idx="5">
                  <c:v>1.33</c:v>
                </c:pt>
                <c:pt idx="6">
                  <c:v>1.55</c:v>
                </c:pt>
                <c:pt idx="7">
                  <c:v>2.36</c:v>
                </c:pt>
                <c:pt idx="8">
                  <c:v>2.86</c:v>
                </c:pt>
                <c:pt idx="9">
                  <c:v>1.97</c:v>
                </c:pt>
                <c:pt idx="10">
                  <c:v>0.52</c:v>
                </c:pt>
                <c:pt idx="11">
                  <c:v>0.29699999999999999</c:v>
                </c:pt>
                <c:pt idx="12">
                  <c:v>0.219</c:v>
                </c:pt>
              </c:numCache>
            </c:numRef>
          </c:yVal>
          <c:smooth val="1"/>
          <c:extLst>
            <c:ext xmlns:c16="http://schemas.microsoft.com/office/drawing/2014/chart" uri="{C3380CC4-5D6E-409C-BE32-E72D297353CC}">
              <c16:uniqueId val="{00000000-7161-4201-9597-5A6EED04552E}"/>
            </c:ext>
          </c:extLst>
        </c:ser>
        <c:dLbls>
          <c:showLegendKey val="0"/>
          <c:showVal val="0"/>
          <c:showCatName val="0"/>
          <c:showSerName val="0"/>
          <c:showPercent val="0"/>
          <c:showBubbleSize val="0"/>
        </c:dLbls>
        <c:axId val="106891136"/>
        <c:axId val="106897408"/>
      </c:scatterChart>
      <c:valAx>
        <c:axId val="106891136"/>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6897408"/>
        <c:crosses val="autoZero"/>
        <c:crossBetween val="midCat"/>
        <c:majorUnit val="100"/>
      </c:valAx>
      <c:valAx>
        <c:axId val="106897408"/>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E+00" sourceLinked="0"/>
        <c:majorTickMark val="out"/>
        <c:minorTickMark val="none"/>
        <c:tickLblPos val="low"/>
        <c:crossAx val="1068911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Ra-226</c:v>
          </c:tx>
          <c:xVal>
            <c:numRef>
              <c:f>'High quantity low concentration'!$D$26:$D$38</c:f>
              <c:numCache>
                <c:formatCode>0.0000E+00</c:formatCode>
                <c:ptCount val="13"/>
                <c:pt idx="0">
                  <c:v>9226661057.5675392</c:v>
                </c:pt>
                <c:pt idx="1">
                  <c:v>230666526.43918851</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concentration'!$E$26:$E$38</c:f>
              <c:numCache>
                <c:formatCode>0.0000E+00</c:formatCode>
                <c:ptCount val="13"/>
                <c:pt idx="0">
                  <c:v>4.3899999999999998E-3</c:v>
                </c:pt>
                <c:pt idx="1">
                  <c:v>8.0119999999999997E-2</c:v>
                </c:pt>
                <c:pt idx="2">
                  <c:v>17.760000000000002</c:v>
                </c:pt>
                <c:pt idx="3">
                  <c:v>23.65</c:v>
                </c:pt>
                <c:pt idx="4">
                  <c:v>33.94</c:v>
                </c:pt>
                <c:pt idx="5">
                  <c:v>25.79</c:v>
                </c:pt>
                <c:pt idx="6">
                  <c:v>34.39</c:v>
                </c:pt>
                <c:pt idx="7">
                  <c:v>33.520000000000003</c:v>
                </c:pt>
                <c:pt idx="8">
                  <c:v>33.31</c:v>
                </c:pt>
                <c:pt idx="9">
                  <c:v>38.020000000000003</c:v>
                </c:pt>
                <c:pt idx="10">
                  <c:v>42.33</c:v>
                </c:pt>
                <c:pt idx="11">
                  <c:v>34.049999999999997</c:v>
                </c:pt>
                <c:pt idx="12">
                  <c:v>25.19</c:v>
                </c:pt>
              </c:numCache>
            </c:numRef>
          </c:yVal>
          <c:smooth val="1"/>
          <c:extLst>
            <c:ext xmlns:c16="http://schemas.microsoft.com/office/drawing/2014/chart" uri="{C3380CC4-5D6E-409C-BE32-E72D297353CC}">
              <c16:uniqueId val="{00000000-BD74-4024-A971-3A57C84FAE0B}"/>
            </c:ext>
          </c:extLst>
        </c:ser>
        <c:ser>
          <c:idx val="0"/>
          <c:order val="1"/>
          <c:tx>
            <c:v>Ra-228</c:v>
          </c:tx>
          <c:xVal>
            <c:numRef>
              <c:f>'High quantity low concentration'!$F$26:$F$38</c:f>
              <c:numCache>
                <c:formatCode>0.0000E+00</c:formatCode>
                <c:ptCount val="13"/>
                <c:pt idx="0">
                  <c:v>6919995793.1756554</c:v>
                </c:pt>
                <c:pt idx="1">
                  <c:v>172999894.82939136</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concentration'!$G$26:$G$38</c:f>
              <c:numCache>
                <c:formatCode>0.0000E+00</c:formatCode>
                <c:ptCount val="13"/>
                <c:pt idx="0">
                  <c:v>6.6E-4</c:v>
                </c:pt>
                <c:pt idx="1">
                  <c:v>1.7999999999999999E-2</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1-BD74-4024-A971-3A57C84FAE0B}"/>
            </c:ext>
          </c:extLst>
        </c:ser>
        <c:ser>
          <c:idx val="2"/>
          <c:order val="2"/>
          <c:tx>
            <c:v>Th-232</c:v>
          </c:tx>
          <c:xVal>
            <c:numRef>
              <c:f>'High quantity low concentration'!$L$26:$L$38</c:f>
              <c:numCache>
                <c:formatCode>0.0000E+00</c:formatCode>
                <c:ptCount val="13"/>
                <c:pt idx="1">
                  <c:v>10874279.103561742</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concentration'!$M$26:$M$38</c:f>
              <c:numCache>
                <c:formatCode>0.0000E+00</c:formatCode>
                <c:ptCount val="13"/>
                <c:pt idx="0">
                  <c:v>2.12E-4</c:v>
                </c:pt>
                <c:pt idx="1">
                  <c:v>0.11</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2-BD74-4024-A971-3A57C84FAE0B}"/>
            </c:ext>
          </c:extLst>
        </c:ser>
        <c:dLbls>
          <c:showLegendKey val="0"/>
          <c:showVal val="0"/>
          <c:showCatName val="0"/>
          <c:showSerName val="0"/>
          <c:showPercent val="0"/>
          <c:showBubbleSize val="0"/>
        </c:dLbls>
        <c:axId val="106850560"/>
        <c:axId val="106852736"/>
      </c:scatterChart>
      <c:valAx>
        <c:axId val="106850560"/>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6852736"/>
        <c:crosses val="autoZero"/>
        <c:crossBetween val="midCat"/>
      </c:valAx>
      <c:valAx>
        <c:axId val="10685273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68505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Th-230</c:v>
          </c:tx>
          <c:xVal>
            <c:numRef>
              <c:f>'High quantity low concentration'!$J$26:$J$38</c:f>
              <c:numCache>
                <c:formatCode>0.0000E+00</c:formatCode>
                <c:ptCount val="13"/>
                <c:pt idx="0">
                  <c:v>691999579317.56543</c:v>
                </c:pt>
                <c:pt idx="1">
                  <c:v>17299989482.939137</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concentration'!$K$26:$K$38</c:f>
              <c:numCache>
                <c:formatCode>0.0000E+00</c:formatCode>
                <c:ptCount val="13"/>
                <c:pt idx="0">
                  <c:v>1.95E-6</c:v>
                </c:pt>
                <c:pt idx="1">
                  <c:v>1.59E-6</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0-0103-4289-98B2-C910EDB70D02}"/>
            </c:ext>
          </c:extLst>
        </c:ser>
        <c:ser>
          <c:idx val="0"/>
          <c:order val="1"/>
          <c:tx>
            <c:v>Th-228</c:v>
          </c:tx>
          <c:xVal>
            <c:numRef>
              <c:f>'High quantity low concentration'!$H$26:$H$38</c:f>
              <c:numCache>
                <c:formatCode>0.0000E+00</c:formatCode>
                <c:ptCount val="13"/>
                <c:pt idx="0">
                  <c:v>691999579317.56543</c:v>
                </c:pt>
                <c:pt idx="1">
                  <c:v>17299989482.939137</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concentration'!$I$26:$I$38</c:f>
              <c:numCache>
                <c:formatCode>0.0000E+00</c:formatCode>
                <c:ptCount val="13"/>
                <c:pt idx="0">
                  <c:v>9.1200000000000005E-4</c:v>
                </c:pt>
                <c:pt idx="1">
                  <c:v>5.6800000000000004E-4</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1-0103-4289-98B2-C910EDB70D02}"/>
            </c:ext>
          </c:extLst>
        </c:ser>
        <c:ser>
          <c:idx val="2"/>
          <c:order val="2"/>
          <c:tx>
            <c:v>Pb-210</c:v>
          </c:tx>
          <c:xVal>
            <c:numRef>
              <c:f>'High quantity low concentration'!$B$26:$B$38</c:f>
              <c:numCache>
                <c:formatCode>0.0000E+00</c:formatCode>
                <c:ptCount val="13"/>
                <c:pt idx="0">
                  <c:v>69199957931.756546</c:v>
                </c:pt>
                <c:pt idx="1">
                  <c:v>1729998948.2939138</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concentration'!$C$26:$C$38</c:f>
              <c:numCache>
                <c:formatCode>0.0000E+00</c:formatCode>
                <c:ptCount val="13"/>
                <c:pt idx="0">
                  <c:v>6.8999999999999997E-5</c:v>
                </c:pt>
                <c:pt idx="1">
                  <c:v>1.2999999999999999E-4</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2-0103-4289-98B2-C910EDB70D02}"/>
            </c:ext>
          </c:extLst>
        </c:ser>
        <c:ser>
          <c:idx val="3"/>
          <c:order val="3"/>
          <c:tx>
            <c:v>U-234</c:v>
          </c:tx>
          <c:xVal>
            <c:numRef>
              <c:f>'High quantity low concentration'!$R$26:$R$39</c:f>
              <c:numCache>
                <c:formatCode>0.0000E+00</c:formatCode>
                <c:ptCount val="14"/>
                <c:pt idx="0">
                  <c:v>6112662950638.4932</c:v>
                </c:pt>
                <c:pt idx="1">
                  <c:v>152816573765.96234</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pt idx="13">
                  <c:v>0</c:v>
                </c:pt>
              </c:numCache>
            </c:numRef>
          </c:xVal>
          <c:yVal>
            <c:numRef>
              <c:f>'High quantity low concentration'!$S$26:$S$39</c:f>
              <c:numCache>
                <c:formatCode>0.0000E+00</c:formatCode>
                <c:ptCount val="14"/>
                <c:pt idx="0">
                  <c:v>8.8099999999999995E-4</c:v>
                </c:pt>
                <c:pt idx="1">
                  <c:v>6.8199999999999999E-4</c:v>
                </c:pt>
                <c:pt idx="2">
                  <c:v>0</c:v>
                </c:pt>
                <c:pt idx="3">
                  <c:v>0</c:v>
                </c:pt>
                <c:pt idx="4">
                  <c:v>0</c:v>
                </c:pt>
                <c:pt idx="5">
                  <c:v>0</c:v>
                </c:pt>
                <c:pt idx="6">
                  <c:v>0</c:v>
                </c:pt>
                <c:pt idx="7">
                  <c:v>0</c:v>
                </c:pt>
                <c:pt idx="8">
                  <c:v>0</c:v>
                </c:pt>
                <c:pt idx="9">
                  <c:v>0</c:v>
                </c:pt>
                <c:pt idx="10">
                  <c:v>0</c:v>
                </c:pt>
                <c:pt idx="11">
                  <c:v>0</c:v>
                </c:pt>
                <c:pt idx="12">
                  <c:v>0</c:v>
                </c:pt>
                <c:pt idx="13">
                  <c:v>0</c:v>
                </c:pt>
              </c:numCache>
            </c:numRef>
          </c:yVal>
          <c:smooth val="1"/>
          <c:extLst>
            <c:ext xmlns:c16="http://schemas.microsoft.com/office/drawing/2014/chart" uri="{C3380CC4-5D6E-409C-BE32-E72D297353CC}">
              <c16:uniqueId val="{00000003-0103-4289-98B2-C910EDB70D02}"/>
            </c:ext>
          </c:extLst>
        </c:ser>
        <c:ser>
          <c:idx val="4"/>
          <c:order val="4"/>
          <c:tx>
            <c:v>U-235</c:v>
          </c:tx>
          <c:xVal>
            <c:numRef>
              <c:f>'High quantity low concentration'!$P$26:$P$39</c:f>
              <c:numCache>
                <c:formatCode>0.0000E+00</c:formatCode>
                <c:ptCount val="14"/>
                <c:pt idx="0">
                  <c:v>6112662950638.4932</c:v>
                </c:pt>
                <c:pt idx="1">
                  <c:v>152816573765.96234</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pt idx="13">
                  <c:v>0</c:v>
                </c:pt>
              </c:numCache>
            </c:numRef>
          </c:xVal>
          <c:yVal>
            <c:numRef>
              <c:f>'High quantity low concentration'!$Q$26:$Q$39</c:f>
              <c:numCache>
                <c:formatCode>0.0000E+00</c:formatCode>
                <c:ptCount val="14"/>
                <c:pt idx="0">
                  <c:v>3.6600000000000001E-3</c:v>
                </c:pt>
                <c:pt idx="1">
                  <c:v>2.82E-3</c:v>
                </c:pt>
                <c:pt idx="2">
                  <c:v>0</c:v>
                </c:pt>
                <c:pt idx="3">
                  <c:v>0</c:v>
                </c:pt>
                <c:pt idx="4">
                  <c:v>0</c:v>
                </c:pt>
                <c:pt idx="5">
                  <c:v>0</c:v>
                </c:pt>
                <c:pt idx="6">
                  <c:v>0</c:v>
                </c:pt>
                <c:pt idx="7">
                  <c:v>0</c:v>
                </c:pt>
                <c:pt idx="8">
                  <c:v>0</c:v>
                </c:pt>
                <c:pt idx="9">
                  <c:v>0</c:v>
                </c:pt>
                <c:pt idx="10">
                  <c:v>0</c:v>
                </c:pt>
                <c:pt idx="11">
                  <c:v>0</c:v>
                </c:pt>
                <c:pt idx="12">
                  <c:v>0</c:v>
                </c:pt>
                <c:pt idx="13">
                  <c:v>0</c:v>
                </c:pt>
              </c:numCache>
            </c:numRef>
          </c:yVal>
          <c:smooth val="1"/>
          <c:extLst>
            <c:ext xmlns:c16="http://schemas.microsoft.com/office/drawing/2014/chart" uri="{C3380CC4-5D6E-409C-BE32-E72D297353CC}">
              <c16:uniqueId val="{00000004-0103-4289-98B2-C910EDB70D02}"/>
            </c:ext>
          </c:extLst>
        </c:ser>
        <c:dLbls>
          <c:showLegendKey val="0"/>
          <c:showVal val="0"/>
          <c:showCatName val="0"/>
          <c:showSerName val="0"/>
          <c:showPercent val="0"/>
          <c:showBubbleSize val="0"/>
        </c:dLbls>
        <c:axId val="106958208"/>
        <c:axId val="106968576"/>
      </c:scatterChart>
      <c:valAx>
        <c:axId val="106958208"/>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6968576"/>
        <c:crossesAt val="1.0000000000000002E-4"/>
        <c:crossBetween val="midCat"/>
      </c:valAx>
      <c:valAx>
        <c:axId val="10696857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0E+00" sourceLinked="0"/>
        <c:majorTickMark val="out"/>
        <c:minorTickMark val="none"/>
        <c:tickLblPos val="low"/>
        <c:txPr>
          <a:bodyPr/>
          <a:lstStyle/>
          <a:p>
            <a:pPr>
              <a:defRPr sz="1100" b="0">
                <a:solidFill>
                  <a:schemeClr val="tx2">
                    <a:lumMod val="50000"/>
                  </a:schemeClr>
                </a:solidFill>
              </a:defRPr>
            </a:pPr>
            <a:endParaRPr lang="en-US"/>
          </a:p>
        </c:txPr>
        <c:crossAx val="1069582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K-40</c:v>
          </c:tx>
          <c:xVal>
            <c:numRef>
              <c:f>'High quantity low concentration'!$T$26:$T$36</c:f>
              <c:numCache>
                <c:formatCode>0.0000E+00</c:formatCode>
                <c:ptCount val="11"/>
                <c:pt idx="0">
                  <c:v>384444.2107319808</c:v>
                </c:pt>
                <c:pt idx="1">
                  <c:v>96111.0526829952</c:v>
                </c:pt>
                <c:pt idx="2">
                  <c:v>24027.7631707488</c:v>
                </c:pt>
                <c:pt idx="3">
                  <c:v>13515.616783546198</c:v>
                </c:pt>
                <c:pt idx="4">
                  <c:v>6006.9407926872</c:v>
                </c:pt>
                <c:pt idx="5">
                  <c:v>3378.9041958865496</c:v>
                </c:pt>
                <c:pt idx="6">
                  <c:v>1501.7351981718</c:v>
                </c:pt>
                <c:pt idx="7">
                  <c:v>375.43379954295</c:v>
                </c:pt>
                <c:pt idx="8">
                  <c:v>60.069407926871996</c:v>
                </c:pt>
                <c:pt idx="9">
                  <c:v>33.789041958865496</c:v>
                </c:pt>
                <c:pt idx="10">
                  <c:v>15.017351981717999</c:v>
                </c:pt>
              </c:numCache>
            </c:numRef>
          </c:xVal>
          <c:yVal>
            <c:numRef>
              <c:f>'High quantity low concentration'!$U$26:$U$36</c:f>
              <c:numCache>
                <c:formatCode>0.0000E+00</c:formatCode>
                <c:ptCount val="11"/>
                <c:pt idx="0">
                  <c:v>8.9090000000000007</c:v>
                </c:pt>
                <c:pt idx="1">
                  <c:v>12.98</c:v>
                </c:pt>
                <c:pt idx="2">
                  <c:v>19.61</c:v>
                </c:pt>
                <c:pt idx="3">
                  <c:v>18.72</c:v>
                </c:pt>
                <c:pt idx="4">
                  <c:v>16.78</c:v>
                </c:pt>
                <c:pt idx="5">
                  <c:v>13.58</c:v>
                </c:pt>
                <c:pt idx="6">
                  <c:v>13.28</c:v>
                </c:pt>
                <c:pt idx="7">
                  <c:v>20.13</c:v>
                </c:pt>
                <c:pt idx="8">
                  <c:v>23.35</c:v>
                </c:pt>
                <c:pt idx="9">
                  <c:v>19.54</c:v>
                </c:pt>
                <c:pt idx="10">
                  <c:v>15.46</c:v>
                </c:pt>
              </c:numCache>
            </c:numRef>
          </c:yVal>
          <c:smooth val="1"/>
          <c:extLst>
            <c:ext xmlns:c16="http://schemas.microsoft.com/office/drawing/2014/chart" uri="{C3380CC4-5D6E-409C-BE32-E72D297353CC}">
              <c16:uniqueId val="{00000000-2DDB-4E98-A8DD-43809E93E2AC}"/>
            </c:ext>
          </c:extLst>
        </c:ser>
        <c:dLbls>
          <c:showLegendKey val="0"/>
          <c:showVal val="0"/>
          <c:showCatName val="0"/>
          <c:showSerName val="0"/>
          <c:showPercent val="0"/>
          <c:showBubbleSize val="0"/>
        </c:dLbls>
        <c:axId val="107001344"/>
        <c:axId val="107003264"/>
      </c:scatterChart>
      <c:valAx>
        <c:axId val="107001344"/>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7003264"/>
        <c:crosses val="autoZero"/>
        <c:crossBetween val="midCat"/>
        <c:majorUnit val="100"/>
      </c:valAx>
      <c:valAx>
        <c:axId val="107003264"/>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70013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U-238</c:v>
          </c:tx>
          <c:xVal>
            <c:numRef>
              <c:f>'High quantity low concentration'!$N$26:$N$38</c:f>
              <c:numCache>
                <c:formatCode>0.0000E+00</c:formatCode>
                <c:ptCount val="13"/>
                <c:pt idx="0">
                  <c:v>3805997686.2466087</c:v>
                </c:pt>
                <c:pt idx="1">
                  <c:v>95149942.156165227</c:v>
                </c:pt>
                <c:pt idx="2">
                  <c:v>96111.0526829952</c:v>
                </c:pt>
                <c:pt idx="3">
                  <c:v>36041.644756123198</c:v>
                </c:pt>
                <c:pt idx="4">
                  <c:v>12013.8815853744</c:v>
                </c:pt>
                <c:pt idx="5">
                  <c:v>6757.8083917730992</c:v>
                </c:pt>
                <c:pt idx="6">
                  <c:v>3003.4703963436</c:v>
                </c:pt>
                <c:pt idx="7">
                  <c:v>1126.3013986288499</c:v>
                </c:pt>
                <c:pt idx="8">
                  <c:v>300.34703963435999</c:v>
                </c:pt>
                <c:pt idx="9">
                  <c:v>112.630139862885</c:v>
                </c:pt>
                <c:pt idx="10">
                  <c:v>30.034703963435998</c:v>
                </c:pt>
                <c:pt idx="11">
                  <c:v>11.263013986288499</c:v>
                </c:pt>
                <c:pt idx="12">
                  <c:v>3.0034703963435998</c:v>
                </c:pt>
              </c:numCache>
            </c:numRef>
          </c:xVal>
          <c:yVal>
            <c:numRef>
              <c:f>'High quantity low concentration'!$O$26:$O$38</c:f>
              <c:numCache>
                <c:formatCode>0.0000E+00</c:formatCode>
                <c:ptCount val="13"/>
                <c:pt idx="0">
                  <c:v>1.81E-3</c:v>
                </c:pt>
                <c:pt idx="1">
                  <c:v>2.7799999999999998E-2</c:v>
                </c:pt>
                <c:pt idx="2">
                  <c:v>0</c:v>
                </c:pt>
                <c:pt idx="3">
                  <c:v>0</c:v>
                </c:pt>
                <c:pt idx="4">
                  <c:v>0</c:v>
                </c:pt>
                <c:pt idx="5">
                  <c:v>0</c:v>
                </c:pt>
                <c:pt idx="6">
                  <c:v>0</c:v>
                </c:pt>
                <c:pt idx="7">
                  <c:v>0</c:v>
                </c:pt>
                <c:pt idx="8">
                  <c:v>0</c:v>
                </c:pt>
                <c:pt idx="9">
                  <c:v>0</c:v>
                </c:pt>
                <c:pt idx="10">
                  <c:v>0</c:v>
                </c:pt>
                <c:pt idx="11">
                  <c:v>0</c:v>
                </c:pt>
                <c:pt idx="12">
                  <c:v>0</c:v>
                </c:pt>
              </c:numCache>
            </c:numRef>
          </c:yVal>
          <c:smooth val="1"/>
          <c:extLst>
            <c:ext xmlns:c16="http://schemas.microsoft.com/office/drawing/2014/chart" uri="{C3380CC4-5D6E-409C-BE32-E72D297353CC}">
              <c16:uniqueId val="{00000000-F89F-4B7C-ADE1-CDAEFA6EAF6A}"/>
            </c:ext>
          </c:extLst>
        </c:ser>
        <c:dLbls>
          <c:showLegendKey val="0"/>
          <c:showVal val="0"/>
          <c:showCatName val="0"/>
          <c:showSerName val="0"/>
          <c:showPercent val="0"/>
          <c:showBubbleSize val="0"/>
        </c:dLbls>
        <c:axId val="112865280"/>
        <c:axId val="112867200"/>
      </c:scatterChart>
      <c:valAx>
        <c:axId val="112865280"/>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12867200"/>
        <c:crosses val="autoZero"/>
        <c:crossBetween val="midCat"/>
        <c:majorUnit val="100"/>
      </c:valAx>
      <c:valAx>
        <c:axId val="112867200"/>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E+00" sourceLinked="0"/>
        <c:majorTickMark val="out"/>
        <c:minorTickMark val="none"/>
        <c:tickLblPos val="low"/>
        <c:crossAx val="1128652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Th-Nat</c:v>
          </c:tx>
          <c:xVal>
            <c:numRef>
              <c:f>'High quantity low concentration'!$V$26:$V$36</c:f>
              <c:numCache>
                <c:formatCode>0.0000E+00</c:formatCode>
                <c:ptCount val="11"/>
                <c:pt idx="0">
                  <c:v>384444.2107319808</c:v>
                </c:pt>
                <c:pt idx="1">
                  <c:v>96111.0526829952</c:v>
                </c:pt>
                <c:pt idx="2">
                  <c:v>24027.7631707488</c:v>
                </c:pt>
                <c:pt idx="3">
                  <c:v>13515.616783546198</c:v>
                </c:pt>
                <c:pt idx="4">
                  <c:v>6006.9407926872</c:v>
                </c:pt>
                <c:pt idx="5">
                  <c:v>3378.9041958865496</c:v>
                </c:pt>
                <c:pt idx="6">
                  <c:v>1501.7351981718</c:v>
                </c:pt>
                <c:pt idx="7">
                  <c:v>375.43379954295</c:v>
                </c:pt>
                <c:pt idx="8">
                  <c:v>60.069407926871996</c:v>
                </c:pt>
                <c:pt idx="9">
                  <c:v>33.789041958865496</c:v>
                </c:pt>
                <c:pt idx="10">
                  <c:v>15.017351981717999</c:v>
                </c:pt>
              </c:numCache>
            </c:numRef>
          </c:xVal>
          <c:yVal>
            <c:numRef>
              <c:f>'High quantity low concentration'!$W$26:$W$36</c:f>
              <c:numCache>
                <c:formatCode>0.0000E+00</c:formatCode>
                <c:ptCount val="11"/>
                <c:pt idx="0">
                  <c:v>16.239999999999998</c:v>
                </c:pt>
                <c:pt idx="1">
                  <c:v>19.079999999999998</c:v>
                </c:pt>
                <c:pt idx="2">
                  <c:v>23.01</c:v>
                </c:pt>
                <c:pt idx="3">
                  <c:v>23.36</c:v>
                </c:pt>
                <c:pt idx="4">
                  <c:v>23.04</c:v>
                </c:pt>
                <c:pt idx="5">
                  <c:v>22.62</c:v>
                </c:pt>
                <c:pt idx="6">
                  <c:v>22.37</c:v>
                </c:pt>
                <c:pt idx="7">
                  <c:v>21.95</c:v>
                </c:pt>
                <c:pt idx="8">
                  <c:v>21.6</c:v>
                </c:pt>
                <c:pt idx="9">
                  <c:v>19.399999999999999</c:v>
                </c:pt>
                <c:pt idx="10">
                  <c:v>17.170000000000002</c:v>
                </c:pt>
              </c:numCache>
            </c:numRef>
          </c:yVal>
          <c:smooth val="1"/>
          <c:extLst>
            <c:ext xmlns:c16="http://schemas.microsoft.com/office/drawing/2014/chart" uri="{C3380CC4-5D6E-409C-BE32-E72D297353CC}">
              <c16:uniqueId val="{00000000-4AEA-4F94-9476-436413BA1BCD}"/>
            </c:ext>
          </c:extLst>
        </c:ser>
        <c:dLbls>
          <c:showLegendKey val="0"/>
          <c:showVal val="0"/>
          <c:showCatName val="0"/>
          <c:showSerName val="0"/>
          <c:showPercent val="0"/>
          <c:showBubbleSize val="0"/>
        </c:dLbls>
        <c:axId val="112892160"/>
        <c:axId val="112898432"/>
      </c:scatterChart>
      <c:valAx>
        <c:axId val="112892160"/>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12898432"/>
        <c:crosses val="autoZero"/>
        <c:crossBetween val="midCat"/>
        <c:majorUnit val="100"/>
      </c:valAx>
      <c:valAx>
        <c:axId val="112898432"/>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E+00" sourceLinked="0"/>
        <c:majorTickMark val="out"/>
        <c:minorTickMark val="none"/>
        <c:tickLblPos val="low"/>
        <c:crossAx val="1128921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Th-230</c:v>
          </c:tx>
          <c:xVal>
            <c:numRef>
              <c:f>'Dose vs Small Area (Low Conc.)'!$J$25:$J$37</c:f>
              <c:numCache>
                <c:formatCode>0.0000E+00</c:formatCode>
                <c:ptCount val="13"/>
                <c:pt idx="0">
                  <c:v>17299989482.939137</c:v>
                </c:pt>
                <c:pt idx="1">
                  <c:v>43249973.707347848</c:v>
                </c:pt>
                <c:pt idx="2">
                  <c:v>10812493.426836962</c:v>
                </c:pt>
                <c:pt idx="3">
                  <c:v>2703123.3567092405</c:v>
                </c:pt>
                <c:pt idx="4">
                  <c:v>432499.73707347846</c:v>
                </c:pt>
                <c:pt idx="5">
                  <c:v>27031.233567092404</c:v>
                </c:pt>
                <c:pt idx="6">
                  <c:v>17299.989482939134</c:v>
                </c:pt>
                <c:pt idx="7">
                  <c:v>4324.9973707347835</c:v>
                </c:pt>
                <c:pt idx="8">
                  <c:v>1081.2493426836959</c:v>
                </c:pt>
                <c:pt idx="9">
                  <c:v>43.249973707347841</c:v>
                </c:pt>
                <c:pt idx="10">
                  <c:v>0.4324997370734785</c:v>
                </c:pt>
                <c:pt idx="11">
                  <c:v>4.3249973707347846E-3</c:v>
                </c:pt>
                <c:pt idx="12">
                  <c:v>4.3249973707347843E-5</c:v>
                </c:pt>
              </c:numCache>
            </c:numRef>
          </c:xVal>
          <c:yVal>
            <c:numRef>
              <c:f>'Dose vs Small Area (Low Conc.)'!$K$25:$K$37</c:f>
              <c:numCache>
                <c:formatCode>0.0000E+00</c:formatCode>
                <c:ptCount val="13"/>
                <c:pt idx="0">
                  <c:v>2.4299999999999999E-7</c:v>
                </c:pt>
                <c:pt idx="1">
                  <c:v>4.5699999999999998E-7</c:v>
                </c:pt>
                <c:pt idx="2">
                  <c:v>6.5099999999999999E-7</c:v>
                </c:pt>
                <c:pt idx="3">
                  <c:v>2.2910000000000002E-6</c:v>
                </c:pt>
                <c:pt idx="4">
                  <c:v>1.111E-5</c:v>
                </c:pt>
                <c:pt idx="5">
                  <c:v>1.305E-4</c:v>
                </c:pt>
                <c:pt idx="6">
                  <c:v>1.9220000000000001E-4</c:v>
                </c:pt>
                <c:pt idx="7">
                  <c:v>4.593E-4</c:v>
                </c:pt>
                <c:pt idx="8">
                  <c:v>8.9800000000000004E-4</c:v>
                </c:pt>
                <c:pt idx="9">
                  <c:v>3.7060000000000001E-3</c:v>
                </c:pt>
                <c:pt idx="10">
                  <c:v>2.1899999999999999E-2</c:v>
                </c:pt>
                <c:pt idx="11">
                  <c:v>1.993E-2</c:v>
                </c:pt>
                <c:pt idx="12">
                  <c:v>1.231E-2</c:v>
                </c:pt>
              </c:numCache>
            </c:numRef>
          </c:yVal>
          <c:smooth val="1"/>
          <c:extLst>
            <c:ext xmlns:c16="http://schemas.microsoft.com/office/drawing/2014/chart" uri="{C3380CC4-5D6E-409C-BE32-E72D297353CC}">
              <c16:uniqueId val="{00000000-4ABA-4494-9873-5C85BF25B7D0}"/>
            </c:ext>
          </c:extLst>
        </c:ser>
        <c:ser>
          <c:idx val="0"/>
          <c:order val="1"/>
          <c:tx>
            <c:v>Th-228</c:v>
          </c:tx>
          <c:xVal>
            <c:numRef>
              <c:f>'Dose vs Small Area (Low Conc.)'!$H$25:$H$37</c:f>
              <c:numCache>
                <c:formatCode>0.0000E+00</c:formatCode>
                <c:ptCount val="13"/>
                <c:pt idx="0">
                  <c:v>17299989482.939137</c:v>
                </c:pt>
                <c:pt idx="1">
                  <c:v>43249973.707347848</c:v>
                </c:pt>
                <c:pt idx="2">
                  <c:v>10812493.426836962</c:v>
                </c:pt>
                <c:pt idx="3">
                  <c:v>2703123.3567092405</c:v>
                </c:pt>
                <c:pt idx="4">
                  <c:v>432499.73707347846</c:v>
                </c:pt>
                <c:pt idx="5">
                  <c:v>27031.233567092404</c:v>
                </c:pt>
                <c:pt idx="6">
                  <c:v>17299.989482939134</c:v>
                </c:pt>
                <c:pt idx="7">
                  <c:v>4324.9973707347835</c:v>
                </c:pt>
                <c:pt idx="8">
                  <c:v>1081.2493426836959</c:v>
                </c:pt>
                <c:pt idx="9">
                  <c:v>43.249973707347841</c:v>
                </c:pt>
                <c:pt idx="10">
                  <c:v>0.4324997370734785</c:v>
                </c:pt>
                <c:pt idx="11">
                  <c:v>4.3249973707347846E-3</c:v>
                </c:pt>
                <c:pt idx="12">
                  <c:v>4.3249973707347843E-5</c:v>
                </c:pt>
              </c:numCache>
            </c:numRef>
          </c:xVal>
          <c:yVal>
            <c:numRef>
              <c:f>'Dose vs Small Area (Low Conc.)'!$I$25:$I$37</c:f>
              <c:numCache>
                <c:formatCode>0.0000E+00</c:formatCode>
                <c:ptCount val="13"/>
                <c:pt idx="0">
                  <c:v>9.1199999999999994E-5</c:v>
                </c:pt>
                <c:pt idx="1">
                  <c:v>1.3100000000000001E-4</c:v>
                </c:pt>
                <c:pt idx="2">
                  <c:v>2.2680000000000001E-4</c:v>
                </c:pt>
                <c:pt idx="3">
                  <c:v>8.6859999999999997E-4</c:v>
                </c:pt>
                <c:pt idx="4">
                  <c:v>4.1079999999999997E-3</c:v>
                </c:pt>
                <c:pt idx="5">
                  <c:v>3.524E-2</c:v>
                </c:pt>
                <c:pt idx="6">
                  <c:v>4.8309999999999999E-2</c:v>
                </c:pt>
                <c:pt idx="7">
                  <c:v>9.2090000000000005E-2</c:v>
                </c:pt>
                <c:pt idx="8">
                  <c:v>0.1371</c:v>
                </c:pt>
                <c:pt idx="9">
                  <c:v>0.19750000000000001</c:v>
                </c:pt>
                <c:pt idx="10">
                  <c:v>0.13569999999999999</c:v>
                </c:pt>
                <c:pt idx="11">
                  <c:v>2.7439999999999999E-2</c:v>
                </c:pt>
                <c:pt idx="12">
                  <c:v>1.1180000000000001E-2</c:v>
                </c:pt>
              </c:numCache>
            </c:numRef>
          </c:yVal>
          <c:smooth val="1"/>
          <c:extLst>
            <c:ext xmlns:c16="http://schemas.microsoft.com/office/drawing/2014/chart" uri="{C3380CC4-5D6E-409C-BE32-E72D297353CC}">
              <c16:uniqueId val="{00000001-4ABA-4494-9873-5C85BF25B7D0}"/>
            </c:ext>
          </c:extLst>
        </c:ser>
        <c:ser>
          <c:idx val="2"/>
          <c:order val="2"/>
          <c:tx>
            <c:v>Pb-210</c:v>
          </c:tx>
          <c:xVal>
            <c:numRef>
              <c:f>'Dose vs Small Area (Low Conc.)'!$B$25:$B$37</c:f>
              <c:numCache>
                <c:formatCode>0.0000E+00</c:formatCode>
                <c:ptCount val="13"/>
                <c:pt idx="0">
                  <c:v>1729998948.2939138</c:v>
                </c:pt>
                <c:pt idx="1">
                  <c:v>4324997.3707347838</c:v>
                </c:pt>
                <c:pt idx="2">
                  <c:v>1081249.342683696</c:v>
                </c:pt>
                <c:pt idx="3">
                  <c:v>270312.33567092399</c:v>
                </c:pt>
                <c:pt idx="4">
                  <c:v>43249.973707347839</c:v>
                </c:pt>
                <c:pt idx="5">
                  <c:v>2703.1233567092399</c:v>
                </c:pt>
                <c:pt idx="6">
                  <c:v>1729.9989482939136</c:v>
                </c:pt>
                <c:pt idx="7">
                  <c:v>432.4997370734784</c:v>
                </c:pt>
                <c:pt idx="8">
                  <c:v>108.1249342683696</c:v>
                </c:pt>
                <c:pt idx="9">
                  <c:v>4.324997370734784</c:v>
                </c:pt>
                <c:pt idx="10">
                  <c:v>4.3249973707347851E-2</c:v>
                </c:pt>
                <c:pt idx="11">
                  <c:v>4.324997370734784E-4</c:v>
                </c:pt>
                <c:pt idx="12">
                  <c:v>4.3249973707347846E-6</c:v>
                </c:pt>
              </c:numCache>
            </c:numRef>
          </c:xVal>
          <c:yVal>
            <c:numRef>
              <c:f>'Dose vs Small Area (Low Conc.)'!$C$25:$C$37</c:f>
              <c:numCache>
                <c:formatCode>0.0000E+00</c:formatCode>
                <c:ptCount val="13"/>
                <c:pt idx="0">
                  <c:v>8.3999999999999992E-6</c:v>
                </c:pt>
                <c:pt idx="1">
                  <c:v>3.1E-4</c:v>
                </c:pt>
                <c:pt idx="2">
                  <c:v>6.5799999999999995E-4</c:v>
                </c:pt>
                <c:pt idx="3">
                  <c:v>1.34E-3</c:v>
                </c:pt>
                <c:pt idx="4">
                  <c:v>3.0999999999999999E-3</c:v>
                </c:pt>
                <c:pt idx="5">
                  <c:v>6.2500000000000003E-3</c:v>
                </c:pt>
                <c:pt idx="6">
                  <c:v>6.7200000000000003E-3</c:v>
                </c:pt>
                <c:pt idx="7">
                  <c:v>7.7999999999999996E-3</c:v>
                </c:pt>
                <c:pt idx="8">
                  <c:v>8.3000000000000001E-3</c:v>
                </c:pt>
                <c:pt idx="9">
                  <c:v>8.1700000000000002E-3</c:v>
                </c:pt>
                <c:pt idx="10">
                  <c:v>3.3300000000000001E-3</c:v>
                </c:pt>
                <c:pt idx="11">
                  <c:v>1.1900000000000001E-3</c:v>
                </c:pt>
                <c:pt idx="12">
                  <c:v>7.85E-4</c:v>
                </c:pt>
              </c:numCache>
            </c:numRef>
          </c:yVal>
          <c:smooth val="1"/>
          <c:extLst>
            <c:ext xmlns:c16="http://schemas.microsoft.com/office/drawing/2014/chart" uri="{C3380CC4-5D6E-409C-BE32-E72D297353CC}">
              <c16:uniqueId val="{00000002-4ABA-4494-9873-5C85BF25B7D0}"/>
            </c:ext>
          </c:extLst>
        </c:ser>
        <c:dLbls>
          <c:showLegendKey val="0"/>
          <c:showVal val="0"/>
          <c:showCatName val="0"/>
          <c:showSerName val="0"/>
          <c:showPercent val="0"/>
          <c:showBubbleSize val="0"/>
        </c:dLbls>
        <c:axId val="100666368"/>
        <c:axId val="100672640"/>
      </c:scatterChart>
      <c:valAx>
        <c:axId val="100666368"/>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0672640"/>
        <c:crossesAt val="1.0000000000000002E-4"/>
        <c:crossBetween val="midCat"/>
      </c:valAx>
      <c:valAx>
        <c:axId val="100672640"/>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0E+00" sourceLinked="0"/>
        <c:majorTickMark val="out"/>
        <c:minorTickMark val="none"/>
        <c:tickLblPos val="low"/>
        <c:txPr>
          <a:bodyPr/>
          <a:lstStyle/>
          <a:p>
            <a:pPr>
              <a:defRPr sz="1100" b="0">
                <a:solidFill>
                  <a:schemeClr val="tx2">
                    <a:lumMod val="50000"/>
                  </a:schemeClr>
                </a:solidFill>
              </a:defRPr>
            </a:pPr>
            <a:endParaRPr lang="en-US"/>
          </a:p>
        </c:txPr>
        <c:crossAx val="10066636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U-234</c:v>
          </c:tx>
          <c:xVal>
            <c:numRef>
              <c:f>'Dose vs Small Area (Low Conc.)'!$R$25:$R$38</c:f>
              <c:numCache>
                <c:formatCode>0.0000E+00</c:formatCode>
                <c:ptCount val="14"/>
                <c:pt idx="0">
                  <c:v>172999894829.39136</c:v>
                </c:pt>
                <c:pt idx="1">
                  <c:v>432499737.0734784</c:v>
                </c:pt>
                <c:pt idx="2">
                  <c:v>108124934.2683696</c:v>
                </c:pt>
                <c:pt idx="3">
                  <c:v>27031233.5670924</c:v>
                </c:pt>
                <c:pt idx="4">
                  <c:v>4324997.3707347838</c:v>
                </c:pt>
                <c:pt idx="5">
                  <c:v>270312.33567092399</c:v>
                </c:pt>
                <c:pt idx="6">
                  <c:v>172999.89482939136</c:v>
                </c:pt>
                <c:pt idx="7">
                  <c:v>43249.973707347839</c:v>
                </c:pt>
                <c:pt idx="8">
                  <c:v>10812.49342683696</c:v>
                </c:pt>
                <c:pt idx="9">
                  <c:v>432.4997370734784</c:v>
                </c:pt>
                <c:pt idx="10">
                  <c:v>4.3249973707347849</c:v>
                </c:pt>
                <c:pt idx="11">
                  <c:v>4.3249973707347844E-2</c:v>
                </c:pt>
                <c:pt idx="12">
                  <c:v>4.324997370734784E-4</c:v>
                </c:pt>
                <c:pt idx="13">
                  <c:v>4.3249973707347838E-6</c:v>
                </c:pt>
              </c:numCache>
            </c:numRef>
          </c:xVal>
          <c:yVal>
            <c:numRef>
              <c:f>'Dose vs Small Area (Low Conc.)'!$S$25:$S$38</c:f>
              <c:numCache>
                <c:formatCode>0.0000E+00</c:formatCode>
                <c:ptCount val="14"/>
                <c:pt idx="0">
                  <c:v>1.66E-4</c:v>
                </c:pt>
                <c:pt idx="1">
                  <c:v>1.2899999999999999E-4</c:v>
                </c:pt>
                <c:pt idx="2">
                  <c:v>6.198E-5</c:v>
                </c:pt>
                <c:pt idx="3">
                  <c:v>3.0409999999999999E-5</c:v>
                </c:pt>
                <c:pt idx="4">
                  <c:v>2.7800000000000001E-5</c:v>
                </c:pt>
                <c:pt idx="5">
                  <c:v>2.764E-5</c:v>
                </c:pt>
                <c:pt idx="6">
                  <c:v>2.762E-5</c:v>
                </c:pt>
                <c:pt idx="7">
                  <c:v>2.76E-5</c:v>
                </c:pt>
                <c:pt idx="8">
                  <c:v>2.3940000000000001E-5</c:v>
                </c:pt>
                <c:pt idx="9">
                  <c:v>4.7869999999999998E-4</c:v>
                </c:pt>
                <c:pt idx="10">
                  <c:v>9.7109999999999991E-3</c:v>
                </c:pt>
                <c:pt idx="11">
                  <c:v>5.629E-2</c:v>
                </c:pt>
                <c:pt idx="12">
                  <c:v>4.4089999999999997E-2</c:v>
                </c:pt>
                <c:pt idx="13">
                  <c:v>3.4099999999999998E-2</c:v>
                </c:pt>
              </c:numCache>
            </c:numRef>
          </c:yVal>
          <c:smooth val="1"/>
          <c:extLst>
            <c:ext xmlns:c16="http://schemas.microsoft.com/office/drawing/2014/chart" uri="{C3380CC4-5D6E-409C-BE32-E72D297353CC}">
              <c16:uniqueId val="{00000000-3FE0-4875-B43F-823EA74EA94A}"/>
            </c:ext>
          </c:extLst>
        </c:ser>
        <c:ser>
          <c:idx val="1"/>
          <c:order val="1"/>
          <c:tx>
            <c:v>U-235</c:v>
          </c:tx>
          <c:xVal>
            <c:numRef>
              <c:f>'Dose vs Small Area (Low Conc.)'!$P$25:$P$38</c:f>
              <c:numCache>
                <c:formatCode>0.0000E+00</c:formatCode>
                <c:ptCount val="14"/>
                <c:pt idx="0">
                  <c:v>172999894829.39136</c:v>
                </c:pt>
                <c:pt idx="1">
                  <c:v>432499737.0734784</c:v>
                </c:pt>
                <c:pt idx="2">
                  <c:v>108124934.2683696</c:v>
                </c:pt>
                <c:pt idx="3">
                  <c:v>27031233.5670924</c:v>
                </c:pt>
                <c:pt idx="4">
                  <c:v>4324997.3707347838</c:v>
                </c:pt>
                <c:pt idx="5">
                  <c:v>270312.33567092399</c:v>
                </c:pt>
                <c:pt idx="6">
                  <c:v>172999.89482939136</c:v>
                </c:pt>
                <c:pt idx="7">
                  <c:v>43249.973707347839</c:v>
                </c:pt>
                <c:pt idx="8">
                  <c:v>10812.49342683696</c:v>
                </c:pt>
                <c:pt idx="9">
                  <c:v>432.4997370734784</c:v>
                </c:pt>
                <c:pt idx="10">
                  <c:v>4.3249973707347849</c:v>
                </c:pt>
                <c:pt idx="11">
                  <c:v>4.3249973707347844E-2</c:v>
                </c:pt>
                <c:pt idx="12">
                  <c:v>4.324997370734784E-4</c:v>
                </c:pt>
                <c:pt idx="13">
                  <c:v>4.3249973707347838E-6</c:v>
                </c:pt>
              </c:numCache>
            </c:numRef>
          </c:xVal>
          <c:yVal>
            <c:numRef>
              <c:f>'Dose vs Small Area (Low Conc.)'!$Q$25:$Q$38</c:f>
              <c:numCache>
                <c:formatCode>0.0000E+00</c:formatCode>
                <c:ptCount val="14"/>
                <c:pt idx="0">
                  <c:v>6.8999999999999997E-4</c:v>
                </c:pt>
                <c:pt idx="1">
                  <c:v>5.3200000000000003E-4</c:v>
                </c:pt>
                <c:pt idx="2">
                  <c:v>2.563E-4</c:v>
                </c:pt>
                <c:pt idx="3">
                  <c:v>1.2579999999999999E-4</c:v>
                </c:pt>
                <c:pt idx="4">
                  <c:v>1.15E-4</c:v>
                </c:pt>
                <c:pt idx="5">
                  <c:v>1.997E-4</c:v>
                </c:pt>
                <c:pt idx="6">
                  <c:v>2.377E-4</c:v>
                </c:pt>
                <c:pt idx="7">
                  <c:v>4.8890000000000001E-4</c:v>
                </c:pt>
                <c:pt idx="8">
                  <c:v>1.1950000000000001E-3</c:v>
                </c:pt>
                <c:pt idx="9">
                  <c:v>8.3140000000000002E-3</c:v>
                </c:pt>
                <c:pt idx="10">
                  <c:v>3.0499999999999999E-2</c:v>
                </c:pt>
                <c:pt idx="11">
                  <c:v>6.6119999999999998E-2</c:v>
                </c:pt>
                <c:pt idx="12">
                  <c:v>4.2610000000000002E-2</c:v>
                </c:pt>
                <c:pt idx="13">
                  <c:v>5.5300000000000002E-2</c:v>
                </c:pt>
              </c:numCache>
            </c:numRef>
          </c:yVal>
          <c:smooth val="1"/>
          <c:extLst>
            <c:ext xmlns:c16="http://schemas.microsoft.com/office/drawing/2014/chart" uri="{C3380CC4-5D6E-409C-BE32-E72D297353CC}">
              <c16:uniqueId val="{00000001-3FE0-4875-B43F-823EA74EA94A}"/>
            </c:ext>
          </c:extLst>
        </c:ser>
        <c:dLbls>
          <c:showLegendKey val="0"/>
          <c:showVal val="0"/>
          <c:showCatName val="0"/>
          <c:showSerName val="0"/>
          <c:showPercent val="0"/>
          <c:showBubbleSize val="0"/>
        </c:dLbls>
        <c:axId val="100706176"/>
        <c:axId val="100716544"/>
      </c:scatterChart>
      <c:valAx>
        <c:axId val="100706176"/>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0716544"/>
        <c:crosses val="autoZero"/>
        <c:crossBetween val="midCat"/>
      </c:valAx>
      <c:valAx>
        <c:axId val="100716544"/>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0E+00" sourceLinked="0"/>
        <c:majorTickMark val="out"/>
        <c:minorTickMark val="none"/>
        <c:tickLblPos val="low"/>
        <c:crossAx val="1007061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U-238</c:v>
          </c:tx>
          <c:xVal>
            <c:numRef>
              <c:f>'Dose vs Small Area (Low Conc.)'!$N$25:$N$37</c:f>
              <c:numCache>
                <c:formatCode>0.0000E+00</c:formatCode>
                <c:ptCount val="13"/>
                <c:pt idx="0">
                  <c:v>172999894.82939136</c:v>
                </c:pt>
                <c:pt idx="1">
                  <c:v>432499.73707347841</c:v>
                </c:pt>
                <c:pt idx="2">
                  <c:v>108124.9342683696</c:v>
                </c:pt>
                <c:pt idx="3">
                  <c:v>27031.2335670924</c:v>
                </c:pt>
                <c:pt idx="4">
                  <c:v>4324.9973707347835</c:v>
                </c:pt>
                <c:pt idx="5">
                  <c:v>270.31233567092397</c:v>
                </c:pt>
                <c:pt idx="6">
                  <c:v>172.99989482939137</c:v>
                </c:pt>
                <c:pt idx="7">
                  <c:v>43.249973707347841</c:v>
                </c:pt>
                <c:pt idx="8">
                  <c:v>10.81249342683696</c:v>
                </c:pt>
                <c:pt idx="9">
                  <c:v>0.43249973707347839</c:v>
                </c:pt>
                <c:pt idx="10">
                  <c:v>4.3249973707347837E-3</c:v>
                </c:pt>
                <c:pt idx="11">
                  <c:v>4.3249973707347843E-5</c:v>
                </c:pt>
                <c:pt idx="12">
                  <c:v>4.3249973707347845E-7</c:v>
                </c:pt>
              </c:numCache>
            </c:numRef>
          </c:xVal>
          <c:yVal>
            <c:numRef>
              <c:f>'Dose vs Small Area (Low Conc.)'!$O$25:$O$37</c:f>
              <c:numCache>
                <c:formatCode>0.0000E+00</c:formatCode>
                <c:ptCount val="13"/>
                <c:pt idx="0">
                  <c:v>1.8E-3</c:v>
                </c:pt>
                <c:pt idx="1">
                  <c:v>3.6999999999999998E-2</c:v>
                </c:pt>
                <c:pt idx="2">
                  <c:v>0.1065</c:v>
                </c:pt>
                <c:pt idx="3">
                  <c:v>0.23599999999999999</c:v>
                </c:pt>
                <c:pt idx="4">
                  <c:v>0.52810000000000001</c:v>
                </c:pt>
                <c:pt idx="5">
                  <c:v>1.1559999999999999</c:v>
                </c:pt>
                <c:pt idx="6">
                  <c:v>1.262</c:v>
                </c:pt>
                <c:pt idx="7">
                  <c:v>1.266</c:v>
                </c:pt>
                <c:pt idx="8">
                  <c:v>0.94730000000000003</c:v>
                </c:pt>
                <c:pt idx="9">
                  <c:v>0.37119999999999997</c:v>
                </c:pt>
                <c:pt idx="10">
                  <c:v>9.4579999999999997E-2</c:v>
                </c:pt>
                <c:pt idx="11">
                  <c:v>5.3920000000000003E-2</c:v>
                </c:pt>
                <c:pt idx="12">
                  <c:v>3.977E-2</c:v>
                </c:pt>
              </c:numCache>
            </c:numRef>
          </c:yVal>
          <c:smooth val="1"/>
          <c:extLst>
            <c:ext xmlns:c16="http://schemas.microsoft.com/office/drawing/2014/chart" uri="{C3380CC4-5D6E-409C-BE32-E72D297353CC}">
              <c16:uniqueId val="{00000000-F851-4C2B-A134-EEB9ECF82741}"/>
            </c:ext>
          </c:extLst>
        </c:ser>
        <c:dLbls>
          <c:showLegendKey val="0"/>
          <c:showVal val="0"/>
          <c:showCatName val="0"/>
          <c:showSerName val="0"/>
          <c:showPercent val="0"/>
          <c:showBubbleSize val="0"/>
        </c:dLbls>
        <c:axId val="100737024"/>
        <c:axId val="100738944"/>
      </c:scatterChart>
      <c:valAx>
        <c:axId val="100737024"/>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0738944"/>
        <c:crosses val="autoZero"/>
        <c:crossBetween val="midCat"/>
        <c:majorUnit val="100"/>
      </c:valAx>
      <c:valAx>
        <c:axId val="100738944"/>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E+00" sourceLinked="0"/>
        <c:majorTickMark val="out"/>
        <c:minorTickMark val="none"/>
        <c:tickLblPos val="low"/>
        <c:crossAx val="1007370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K-40</c:v>
          </c:tx>
          <c:xVal>
            <c:numRef>
              <c:f>'Dose vs Small Area (Low Conc.)'!$T$25:$T$37</c:f>
              <c:numCache>
                <c:formatCode>0.0000E+00</c:formatCode>
                <c:ptCount val="13"/>
                <c:pt idx="0">
                  <c:v>52060153.536622405</c:v>
                </c:pt>
                <c:pt idx="1">
                  <c:v>130150.383841556</c:v>
                </c:pt>
                <c:pt idx="2">
                  <c:v>32537.595960389001</c:v>
                </c:pt>
                <c:pt idx="3">
                  <c:v>8134.3989900972501</c:v>
                </c:pt>
                <c:pt idx="4">
                  <c:v>1301.50383841556</c:v>
                </c:pt>
                <c:pt idx="5">
                  <c:v>81.343989900972502</c:v>
                </c:pt>
                <c:pt idx="6">
                  <c:v>52.060153536622408</c:v>
                </c:pt>
                <c:pt idx="7">
                  <c:v>13.015038384155602</c:v>
                </c:pt>
                <c:pt idx="8">
                  <c:v>3.2537595960389005</c:v>
                </c:pt>
                <c:pt idx="9">
                  <c:v>0.130150383841556</c:v>
                </c:pt>
                <c:pt idx="10">
                  <c:v>1.3015038384155601E-3</c:v>
                </c:pt>
                <c:pt idx="11">
                  <c:v>1.3015038384155602E-5</c:v>
                </c:pt>
                <c:pt idx="12">
                  <c:v>1.3015038384155603E-7</c:v>
                </c:pt>
              </c:numCache>
            </c:numRef>
          </c:xVal>
          <c:yVal>
            <c:numRef>
              <c:f>'Dose vs Small Area (Low Conc.)'!$U$25:$U$37</c:f>
              <c:numCache>
                <c:formatCode>0.0000E+00</c:formatCode>
                <c:ptCount val="13"/>
                <c:pt idx="0">
                  <c:v>5.13E-3</c:v>
                </c:pt>
                <c:pt idx="1">
                  <c:v>0.03</c:v>
                </c:pt>
                <c:pt idx="2">
                  <c:v>3.5000000000000003E-2</c:v>
                </c:pt>
                <c:pt idx="3">
                  <c:v>5.8599999999999999E-2</c:v>
                </c:pt>
                <c:pt idx="4">
                  <c:v>0.14000000000000001</c:v>
                </c:pt>
                <c:pt idx="5">
                  <c:v>1.18</c:v>
                </c:pt>
                <c:pt idx="6">
                  <c:v>1.66</c:v>
                </c:pt>
                <c:pt idx="7">
                  <c:v>4.4400000000000004</c:v>
                </c:pt>
                <c:pt idx="8">
                  <c:v>9.68</c:v>
                </c:pt>
                <c:pt idx="9">
                  <c:v>24.4</c:v>
                </c:pt>
                <c:pt idx="10">
                  <c:v>4.8899999999999997</c:v>
                </c:pt>
                <c:pt idx="11">
                  <c:v>0.499</c:v>
                </c:pt>
                <c:pt idx="12">
                  <c:v>5.0099999999999999E-2</c:v>
                </c:pt>
              </c:numCache>
            </c:numRef>
          </c:yVal>
          <c:smooth val="1"/>
          <c:extLst>
            <c:ext xmlns:c16="http://schemas.microsoft.com/office/drawing/2014/chart" uri="{C3380CC4-5D6E-409C-BE32-E72D297353CC}">
              <c16:uniqueId val="{00000000-A6AB-4128-8E72-50AC43F1655D}"/>
            </c:ext>
          </c:extLst>
        </c:ser>
        <c:dLbls>
          <c:showLegendKey val="0"/>
          <c:showVal val="0"/>
          <c:showCatName val="0"/>
          <c:showSerName val="0"/>
          <c:showPercent val="0"/>
          <c:showBubbleSize val="0"/>
        </c:dLbls>
        <c:axId val="100769792"/>
        <c:axId val="100771712"/>
      </c:scatterChart>
      <c:valAx>
        <c:axId val="100769792"/>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0771712"/>
        <c:crosses val="autoZero"/>
        <c:crossBetween val="midCat"/>
        <c:majorUnit val="100"/>
      </c:valAx>
      <c:valAx>
        <c:axId val="100771712"/>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07697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Ra-226</c:v>
          </c:tx>
          <c:xVal>
            <c:numRef>
              <c:f>'Dose vs Small Area (Mid Conc.)'!$D$25:$D$37</c:f>
              <c:numCache>
                <c:formatCode>0.0000E+00</c:formatCode>
                <c:ptCount val="13"/>
                <c:pt idx="0">
                  <c:v>1268665895.4155369</c:v>
                </c:pt>
                <c:pt idx="1">
                  <c:v>3171664.7385388422</c:v>
                </c:pt>
                <c:pt idx="2">
                  <c:v>792916.18463471055</c:v>
                </c:pt>
                <c:pt idx="3">
                  <c:v>198229.04615867764</c:v>
                </c:pt>
                <c:pt idx="4">
                  <c:v>31716.64738538842</c:v>
                </c:pt>
                <c:pt idx="5">
                  <c:v>1982.2904615867762</c:v>
                </c:pt>
                <c:pt idx="6">
                  <c:v>1268.6658954155369</c:v>
                </c:pt>
                <c:pt idx="7">
                  <c:v>317.16647385388421</c:v>
                </c:pt>
                <c:pt idx="8">
                  <c:v>79.291618463471053</c:v>
                </c:pt>
                <c:pt idx="9">
                  <c:v>3.1716647385388419</c:v>
                </c:pt>
                <c:pt idx="10">
                  <c:v>3.1716647385388423E-2</c:v>
                </c:pt>
                <c:pt idx="11">
                  <c:v>3.1716647385388421E-4</c:v>
                </c:pt>
                <c:pt idx="12">
                  <c:v>3.1716647385388424E-6</c:v>
                </c:pt>
              </c:numCache>
            </c:numRef>
          </c:xVal>
          <c:yVal>
            <c:numRef>
              <c:f>'Dose vs Small Area (Mid Conc.)'!$E$25:$E$37</c:f>
              <c:numCache>
                <c:formatCode>0.0000E+00</c:formatCode>
                <c:ptCount val="13"/>
                <c:pt idx="0">
                  <c:v>2.3800000000000002E-3</c:v>
                </c:pt>
                <c:pt idx="1">
                  <c:v>0.1381</c:v>
                </c:pt>
                <c:pt idx="2">
                  <c:v>0.51570000000000005</c:v>
                </c:pt>
                <c:pt idx="3">
                  <c:v>1.913</c:v>
                </c:pt>
                <c:pt idx="4">
                  <c:v>8.9209999999999994</c:v>
                </c:pt>
                <c:pt idx="5">
                  <c:v>17.27</c:v>
                </c:pt>
                <c:pt idx="6">
                  <c:v>18.59</c:v>
                </c:pt>
                <c:pt idx="7">
                  <c:v>21.66</c:v>
                </c:pt>
                <c:pt idx="8">
                  <c:v>23.62</c:v>
                </c:pt>
                <c:pt idx="9">
                  <c:v>16.02</c:v>
                </c:pt>
                <c:pt idx="10">
                  <c:v>2.0299999999999998</c:v>
                </c:pt>
                <c:pt idx="11">
                  <c:v>0.20979999999999999</c:v>
                </c:pt>
                <c:pt idx="12">
                  <c:v>2.6100000000000002E-2</c:v>
                </c:pt>
              </c:numCache>
            </c:numRef>
          </c:yVal>
          <c:smooth val="1"/>
          <c:extLst>
            <c:ext xmlns:c16="http://schemas.microsoft.com/office/drawing/2014/chart" uri="{C3380CC4-5D6E-409C-BE32-E72D297353CC}">
              <c16:uniqueId val="{00000000-4833-4A19-B80C-BBB1E3675326}"/>
            </c:ext>
          </c:extLst>
        </c:ser>
        <c:ser>
          <c:idx val="0"/>
          <c:order val="1"/>
          <c:tx>
            <c:v>Ra-228</c:v>
          </c:tx>
          <c:xVal>
            <c:numRef>
              <c:f>'Dose vs Small Area (Mid Conc.)'!$F$25:$F$37</c:f>
              <c:numCache>
                <c:formatCode>0.0000E+00</c:formatCode>
                <c:ptCount val="13"/>
                <c:pt idx="0">
                  <c:v>951499421.56165218</c:v>
                </c:pt>
                <c:pt idx="1">
                  <c:v>2378748.5539041306</c:v>
                </c:pt>
                <c:pt idx="2">
                  <c:v>594687.13847603265</c:v>
                </c:pt>
                <c:pt idx="3">
                  <c:v>148671.78461900816</c:v>
                </c:pt>
                <c:pt idx="4">
                  <c:v>23787.485539041303</c:v>
                </c:pt>
                <c:pt idx="5">
                  <c:v>1486.7178461900814</c:v>
                </c:pt>
                <c:pt idx="6">
                  <c:v>951.49942156165218</c:v>
                </c:pt>
                <c:pt idx="7">
                  <c:v>237.87485539041305</c:v>
                </c:pt>
                <c:pt idx="8">
                  <c:v>59.468713847603262</c:v>
                </c:pt>
                <c:pt idx="9">
                  <c:v>2.3787485539041304</c:v>
                </c:pt>
                <c:pt idx="10">
                  <c:v>2.3787485539041309E-2</c:v>
                </c:pt>
                <c:pt idx="11">
                  <c:v>2.3787485539041308E-4</c:v>
                </c:pt>
                <c:pt idx="12">
                  <c:v>2.3787485539041306E-6</c:v>
                </c:pt>
              </c:numCache>
            </c:numRef>
          </c:xVal>
          <c:yVal>
            <c:numRef>
              <c:f>'Dose vs Small Area (Mid Conc.)'!$G$25:$G$37</c:f>
              <c:numCache>
                <c:formatCode>0.0000E+00</c:formatCode>
                <c:ptCount val="13"/>
                <c:pt idx="0">
                  <c:v>6.4000000000000005E-4</c:v>
                </c:pt>
                <c:pt idx="1">
                  <c:v>0.12</c:v>
                </c:pt>
                <c:pt idx="2">
                  <c:v>0.1154</c:v>
                </c:pt>
                <c:pt idx="3">
                  <c:v>0.39639999999999997</c:v>
                </c:pt>
                <c:pt idx="4">
                  <c:v>1.518</c:v>
                </c:pt>
                <c:pt idx="5">
                  <c:v>5.17</c:v>
                </c:pt>
                <c:pt idx="6">
                  <c:v>5.931</c:v>
                </c:pt>
                <c:pt idx="7">
                  <c:v>9.19</c:v>
                </c:pt>
                <c:pt idx="8">
                  <c:v>12</c:v>
                </c:pt>
                <c:pt idx="9">
                  <c:v>8.8089999999999993</c:v>
                </c:pt>
                <c:pt idx="10">
                  <c:v>1.0009999999999999</c:v>
                </c:pt>
                <c:pt idx="11">
                  <c:v>0.14099999999999999</c:v>
                </c:pt>
                <c:pt idx="12">
                  <c:v>4.6339999999999999E-2</c:v>
                </c:pt>
              </c:numCache>
            </c:numRef>
          </c:yVal>
          <c:smooth val="1"/>
          <c:extLst>
            <c:ext xmlns:c16="http://schemas.microsoft.com/office/drawing/2014/chart" uri="{C3380CC4-5D6E-409C-BE32-E72D297353CC}">
              <c16:uniqueId val="{00000001-4833-4A19-B80C-BBB1E3675326}"/>
            </c:ext>
          </c:extLst>
        </c:ser>
        <c:ser>
          <c:idx val="2"/>
          <c:order val="2"/>
          <c:tx>
            <c:v>Th-232</c:v>
          </c:tx>
          <c:xVal>
            <c:numRef>
              <c:f>'Dose vs Small Area (Mid Conc.)'!$L$25:$L$37</c:f>
              <c:numCache>
                <c:formatCode>0.0000E+00</c:formatCode>
                <c:ptCount val="13"/>
                <c:pt idx="0">
                  <c:v>76614239.138730481</c:v>
                </c:pt>
                <c:pt idx="1">
                  <c:v>191535.59784682619</c:v>
                </c:pt>
                <c:pt idx="2">
                  <c:v>49428.5413798261</c:v>
                </c:pt>
                <c:pt idx="3">
                  <c:v>12357.135344956525</c:v>
                </c:pt>
                <c:pt idx="4">
                  <c:v>1977.141655193044</c:v>
                </c:pt>
                <c:pt idx="5">
                  <c:v>123.57135344956525</c:v>
                </c:pt>
                <c:pt idx="6">
                  <c:v>79.085666207721758</c:v>
                </c:pt>
                <c:pt idx="7">
                  <c:v>19.771416551930439</c:v>
                </c:pt>
                <c:pt idx="8">
                  <c:v>4.9428541379826099</c:v>
                </c:pt>
                <c:pt idx="9">
                  <c:v>0.1977141655193044</c:v>
                </c:pt>
                <c:pt idx="10">
                  <c:v>1.9771416551930443E-3</c:v>
                </c:pt>
                <c:pt idx="11">
                  <c:v>1.9771416551930438E-5</c:v>
                </c:pt>
                <c:pt idx="12">
                  <c:v>1.9771416551930442E-7</c:v>
                </c:pt>
              </c:numCache>
            </c:numRef>
          </c:xVal>
          <c:yVal>
            <c:numRef>
              <c:f>'Dose vs Small Area (Mid Conc.)'!$M$25:$M$37</c:f>
              <c:numCache>
                <c:formatCode>0.0000E+00</c:formatCode>
                <c:ptCount val="13"/>
                <c:pt idx="0">
                  <c:v>4.6900000000000002E-4</c:v>
                </c:pt>
                <c:pt idx="1">
                  <c:v>0.214</c:v>
                </c:pt>
                <c:pt idx="2">
                  <c:v>0.63</c:v>
                </c:pt>
                <c:pt idx="3">
                  <c:v>1.7</c:v>
                </c:pt>
                <c:pt idx="4">
                  <c:v>6.06</c:v>
                </c:pt>
                <c:pt idx="5">
                  <c:v>19.5</c:v>
                </c:pt>
                <c:pt idx="6">
                  <c:v>20.5</c:v>
                </c:pt>
                <c:pt idx="7">
                  <c:v>19.7</c:v>
                </c:pt>
                <c:pt idx="8">
                  <c:v>14</c:v>
                </c:pt>
                <c:pt idx="9">
                  <c:v>4.79</c:v>
                </c:pt>
                <c:pt idx="10">
                  <c:v>0.63700000000000001</c:v>
                </c:pt>
                <c:pt idx="11">
                  <c:v>0.184</c:v>
                </c:pt>
                <c:pt idx="12">
                  <c:v>0.111</c:v>
                </c:pt>
              </c:numCache>
            </c:numRef>
          </c:yVal>
          <c:smooth val="1"/>
          <c:extLst>
            <c:ext xmlns:c16="http://schemas.microsoft.com/office/drawing/2014/chart" uri="{C3380CC4-5D6E-409C-BE32-E72D297353CC}">
              <c16:uniqueId val="{00000002-4833-4A19-B80C-BBB1E3675326}"/>
            </c:ext>
          </c:extLst>
        </c:ser>
        <c:dLbls>
          <c:showLegendKey val="0"/>
          <c:showVal val="0"/>
          <c:showCatName val="0"/>
          <c:showSerName val="0"/>
          <c:showPercent val="0"/>
          <c:showBubbleSize val="0"/>
        </c:dLbls>
        <c:axId val="100848384"/>
        <c:axId val="100850304"/>
      </c:scatterChart>
      <c:valAx>
        <c:axId val="100848384"/>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0850304"/>
        <c:crosses val="autoZero"/>
        <c:crossBetween val="midCat"/>
      </c:valAx>
      <c:valAx>
        <c:axId val="100850304"/>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08483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1"/>
          <c:order val="0"/>
          <c:tx>
            <c:v>Th-230</c:v>
          </c:tx>
          <c:xVal>
            <c:numRef>
              <c:f>'Dose vs Small Area (Mid Conc.)'!$J$25:$J$37</c:f>
              <c:numCache>
                <c:formatCode>0.0000E+00</c:formatCode>
                <c:ptCount val="13"/>
                <c:pt idx="0">
                  <c:v>95149942156.165237</c:v>
                </c:pt>
                <c:pt idx="1">
                  <c:v>237874855.39041311</c:v>
                </c:pt>
                <c:pt idx="2">
                  <c:v>59468713.847603276</c:v>
                </c:pt>
                <c:pt idx="3">
                  <c:v>14867178.461900819</c:v>
                </c:pt>
                <c:pt idx="4">
                  <c:v>2378748.5539041311</c:v>
                </c:pt>
                <c:pt idx="5">
                  <c:v>148671.78461900819</c:v>
                </c:pt>
                <c:pt idx="6">
                  <c:v>95149.942156165242</c:v>
                </c:pt>
                <c:pt idx="7">
                  <c:v>23787.48553904131</c:v>
                </c:pt>
                <c:pt idx="8">
                  <c:v>5946.8713847603276</c:v>
                </c:pt>
                <c:pt idx="9">
                  <c:v>237.8748553904131</c:v>
                </c:pt>
                <c:pt idx="10">
                  <c:v>2.3787485539041313</c:v>
                </c:pt>
                <c:pt idx="11">
                  <c:v>2.3787485539041309E-2</c:v>
                </c:pt>
                <c:pt idx="12">
                  <c:v>2.378748553904131E-4</c:v>
                </c:pt>
              </c:numCache>
            </c:numRef>
          </c:xVal>
          <c:yVal>
            <c:numRef>
              <c:f>'Dose vs Small Area (Mid Conc.)'!$K$25:$K$37</c:f>
              <c:numCache>
                <c:formatCode>0.0000E+00</c:formatCode>
                <c:ptCount val="13"/>
                <c:pt idx="0">
                  <c:v>4.0600000000000001E-7</c:v>
                </c:pt>
                <c:pt idx="1">
                  <c:v>4.6499999999999999E-7</c:v>
                </c:pt>
                <c:pt idx="2">
                  <c:v>7.8199999999999999E-7</c:v>
                </c:pt>
                <c:pt idx="3">
                  <c:v>1.0100000000000001E-6</c:v>
                </c:pt>
                <c:pt idx="4">
                  <c:v>1.9400000000000001E-6</c:v>
                </c:pt>
                <c:pt idx="5">
                  <c:v>2.3300000000000001E-5</c:v>
                </c:pt>
                <c:pt idx="6">
                  <c:v>3.5200000000000002E-5</c:v>
                </c:pt>
                <c:pt idx="7">
                  <c:v>1.2300000000000001E-4</c:v>
                </c:pt>
                <c:pt idx="8">
                  <c:v>4.2700000000000002E-4</c:v>
                </c:pt>
                <c:pt idx="9">
                  <c:v>3.3700000000000002E-3</c:v>
                </c:pt>
                <c:pt idx="10">
                  <c:v>2.7900000000000001E-2</c:v>
                </c:pt>
                <c:pt idx="11">
                  <c:v>8.2199999999999995E-2</c:v>
                </c:pt>
                <c:pt idx="12">
                  <c:v>6.5000000000000002E-2</c:v>
                </c:pt>
              </c:numCache>
            </c:numRef>
          </c:yVal>
          <c:smooth val="1"/>
          <c:extLst>
            <c:ext xmlns:c16="http://schemas.microsoft.com/office/drawing/2014/chart" uri="{C3380CC4-5D6E-409C-BE32-E72D297353CC}">
              <c16:uniqueId val="{00000000-3596-48C8-96A7-286CF0195243}"/>
            </c:ext>
          </c:extLst>
        </c:ser>
        <c:ser>
          <c:idx val="0"/>
          <c:order val="1"/>
          <c:tx>
            <c:v>Th-228</c:v>
          </c:tx>
          <c:xVal>
            <c:numRef>
              <c:f>'Dose vs Small Area (Mid Conc.)'!$H$25:$H$37</c:f>
              <c:numCache>
                <c:formatCode>0.0000E+00</c:formatCode>
                <c:ptCount val="13"/>
                <c:pt idx="0">
                  <c:v>95149942156.165237</c:v>
                </c:pt>
                <c:pt idx="1">
                  <c:v>237874855.39041311</c:v>
                </c:pt>
                <c:pt idx="2">
                  <c:v>59468713.847603276</c:v>
                </c:pt>
                <c:pt idx="3">
                  <c:v>14867178.461900819</c:v>
                </c:pt>
                <c:pt idx="4">
                  <c:v>2378748.5539041311</c:v>
                </c:pt>
                <c:pt idx="5">
                  <c:v>148671.78461900819</c:v>
                </c:pt>
                <c:pt idx="6">
                  <c:v>95149.942156165242</c:v>
                </c:pt>
                <c:pt idx="7">
                  <c:v>23787.48553904131</c:v>
                </c:pt>
                <c:pt idx="8">
                  <c:v>5946.8713847603276</c:v>
                </c:pt>
                <c:pt idx="9">
                  <c:v>237.8748553904131</c:v>
                </c:pt>
                <c:pt idx="10">
                  <c:v>2.3787485539041313</c:v>
                </c:pt>
                <c:pt idx="11">
                  <c:v>2.3787485539041309E-2</c:v>
                </c:pt>
                <c:pt idx="12">
                  <c:v>2.378748553904131E-4</c:v>
                </c:pt>
              </c:numCache>
            </c:numRef>
          </c:xVal>
          <c:yVal>
            <c:numRef>
              <c:f>'Dose vs Small Area (Mid Conc.)'!$I$25:$I$37</c:f>
              <c:numCache>
                <c:formatCode>0.0000E+00</c:formatCode>
                <c:ptCount val="13"/>
                <c:pt idx="0">
                  <c:v>1.5200000000000001E-4</c:v>
                </c:pt>
                <c:pt idx="1">
                  <c:v>1.3300000000000001E-4</c:v>
                </c:pt>
                <c:pt idx="2">
                  <c:v>2.7020000000000001E-4</c:v>
                </c:pt>
                <c:pt idx="3">
                  <c:v>3.8470000000000003E-4</c:v>
                </c:pt>
                <c:pt idx="4">
                  <c:v>7.6110000000000001E-4</c:v>
                </c:pt>
                <c:pt idx="5">
                  <c:v>7.1710000000000003E-3</c:v>
                </c:pt>
                <c:pt idx="6">
                  <c:v>1.027E-2</c:v>
                </c:pt>
                <c:pt idx="7">
                  <c:v>2.8379999999999999E-2</c:v>
                </c:pt>
                <c:pt idx="8">
                  <c:v>6.9760000000000003E-2</c:v>
                </c:pt>
                <c:pt idx="9">
                  <c:v>0.20080000000000001</c:v>
                </c:pt>
                <c:pt idx="10">
                  <c:v>0.21190000000000001</c:v>
                </c:pt>
                <c:pt idx="11">
                  <c:v>0.1469</c:v>
                </c:pt>
                <c:pt idx="12">
                  <c:v>6.1499999999999999E-2</c:v>
                </c:pt>
              </c:numCache>
            </c:numRef>
          </c:yVal>
          <c:smooth val="1"/>
          <c:extLst>
            <c:ext xmlns:c16="http://schemas.microsoft.com/office/drawing/2014/chart" uri="{C3380CC4-5D6E-409C-BE32-E72D297353CC}">
              <c16:uniqueId val="{00000001-3596-48C8-96A7-286CF0195243}"/>
            </c:ext>
          </c:extLst>
        </c:ser>
        <c:ser>
          <c:idx val="2"/>
          <c:order val="2"/>
          <c:tx>
            <c:v>Pb-210</c:v>
          </c:tx>
          <c:xVal>
            <c:numRef>
              <c:f>'Dose vs Small Area (Mid Conc.)'!$B$25:$B$37</c:f>
              <c:numCache>
                <c:formatCode>0.0000E+00</c:formatCode>
                <c:ptCount val="13"/>
                <c:pt idx="0">
                  <c:v>9514994215.6165257</c:v>
                </c:pt>
                <c:pt idx="1">
                  <c:v>23787485.539041314</c:v>
                </c:pt>
                <c:pt idx="2">
                  <c:v>5946871.3847603286</c:v>
                </c:pt>
                <c:pt idx="3">
                  <c:v>1486717.8461900821</c:v>
                </c:pt>
                <c:pt idx="4">
                  <c:v>237874.85539041314</c:v>
                </c:pt>
                <c:pt idx="5">
                  <c:v>14867.178461900821</c:v>
                </c:pt>
                <c:pt idx="6">
                  <c:v>9514.9942156165253</c:v>
                </c:pt>
                <c:pt idx="7">
                  <c:v>2378.7485539041313</c:v>
                </c:pt>
                <c:pt idx="8">
                  <c:v>594.68713847603283</c:v>
                </c:pt>
                <c:pt idx="9">
                  <c:v>23.787485539041313</c:v>
                </c:pt>
                <c:pt idx="10">
                  <c:v>0.23787485539041317</c:v>
                </c:pt>
                <c:pt idx="11">
                  <c:v>2.3787485539041317E-3</c:v>
                </c:pt>
                <c:pt idx="12">
                  <c:v>2.3787485539041313E-5</c:v>
                </c:pt>
              </c:numCache>
            </c:numRef>
          </c:xVal>
          <c:yVal>
            <c:numRef>
              <c:f>'Dose vs Small Area (Mid Conc.)'!$C$25:$C$37</c:f>
              <c:numCache>
                <c:formatCode>0.0000E+00</c:formatCode>
                <c:ptCount val="13"/>
                <c:pt idx="0">
                  <c:v>1.2E-5</c:v>
                </c:pt>
                <c:pt idx="1">
                  <c:v>1.9000000000000001E-4</c:v>
                </c:pt>
                <c:pt idx="2">
                  <c:v>1.4579999999999999E-4</c:v>
                </c:pt>
                <c:pt idx="3">
                  <c:v>2.4250000000000001E-4</c:v>
                </c:pt>
                <c:pt idx="4">
                  <c:v>6.6879999999999999E-4</c:v>
                </c:pt>
                <c:pt idx="5">
                  <c:v>2.9680000000000002E-3</c:v>
                </c:pt>
                <c:pt idx="6">
                  <c:v>3.6719999999999999E-3</c:v>
                </c:pt>
                <c:pt idx="7">
                  <c:v>6.1130000000000004E-3</c:v>
                </c:pt>
                <c:pt idx="8">
                  <c:v>8.3639999999999999E-3</c:v>
                </c:pt>
                <c:pt idx="9">
                  <c:v>1.172E-2</c:v>
                </c:pt>
                <c:pt idx="10">
                  <c:v>1.278E-2</c:v>
                </c:pt>
                <c:pt idx="11">
                  <c:v>6.5620000000000001E-3</c:v>
                </c:pt>
                <c:pt idx="12">
                  <c:v>4.3150000000000003E-3</c:v>
                </c:pt>
              </c:numCache>
            </c:numRef>
          </c:yVal>
          <c:smooth val="1"/>
          <c:extLst>
            <c:ext xmlns:c16="http://schemas.microsoft.com/office/drawing/2014/chart" uri="{C3380CC4-5D6E-409C-BE32-E72D297353CC}">
              <c16:uniqueId val="{00000002-3596-48C8-96A7-286CF0195243}"/>
            </c:ext>
          </c:extLst>
        </c:ser>
        <c:ser>
          <c:idx val="3"/>
          <c:order val="3"/>
          <c:tx>
            <c:v>U-234</c:v>
          </c:tx>
          <c:xVal>
            <c:numRef>
              <c:f>'Dose vs Small Area (Mid Conc.)'!$R$25:$R$38</c:f>
              <c:numCache>
                <c:formatCode>0.0000E+00</c:formatCode>
                <c:ptCount val="14"/>
                <c:pt idx="0">
                  <c:v>850582816244.50769</c:v>
                </c:pt>
                <c:pt idx="1">
                  <c:v>2126457040.611269</c:v>
                </c:pt>
                <c:pt idx="2">
                  <c:v>531614260.15281725</c:v>
                </c:pt>
                <c:pt idx="3">
                  <c:v>132903565.03820431</c:v>
                </c:pt>
                <c:pt idx="4">
                  <c:v>21264570.406112693</c:v>
                </c:pt>
                <c:pt idx="5">
                  <c:v>1329035.6503820433</c:v>
                </c:pt>
                <c:pt idx="6">
                  <c:v>850582.81624450767</c:v>
                </c:pt>
                <c:pt idx="7">
                  <c:v>212645.70406112692</c:v>
                </c:pt>
                <c:pt idx="8">
                  <c:v>53161.42601528173</c:v>
                </c:pt>
                <c:pt idx="9">
                  <c:v>2126.4570406112689</c:v>
                </c:pt>
                <c:pt idx="10">
                  <c:v>21.264570406112693</c:v>
                </c:pt>
                <c:pt idx="11">
                  <c:v>0.2126457040611269</c:v>
                </c:pt>
                <c:pt idx="12">
                  <c:v>2.1264570406112691E-3</c:v>
                </c:pt>
                <c:pt idx="13">
                  <c:v>2.1264570406112695E-5</c:v>
                </c:pt>
              </c:numCache>
            </c:numRef>
          </c:xVal>
          <c:yVal>
            <c:numRef>
              <c:f>'Dose vs Small Area (Mid Conc.)'!$S$25:$S$38</c:f>
              <c:numCache>
                <c:formatCode>0.0000E+00</c:formatCode>
                <c:ptCount val="14"/>
                <c:pt idx="0">
                  <c:v>2.7799999999999998E-4</c:v>
                </c:pt>
                <c:pt idx="1">
                  <c:v>2.1499999999999999E-4</c:v>
                </c:pt>
                <c:pt idx="2">
                  <c:v>3.0499999999999999E-4</c:v>
                </c:pt>
                <c:pt idx="3">
                  <c:v>1.4999999999999999E-4</c:v>
                </c:pt>
                <c:pt idx="4">
                  <c:v>5.91E-5</c:v>
                </c:pt>
                <c:pt idx="5">
                  <c:v>2.76E-5</c:v>
                </c:pt>
                <c:pt idx="6">
                  <c:v>2.76E-5</c:v>
                </c:pt>
                <c:pt idx="7">
                  <c:v>2.76E-5</c:v>
                </c:pt>
                <c:pt idx="8">
                  <c:v>2.76E-5</c:v>
                </c:pt>
                <c:pt idx="9">
                  <c:v>1.11E-4</c:v>
                </c:pt>
                <c:pt idx="10">
                  <c:v>5.6499999999999996E-3</c:v>
                </c:pt>
                <c:pt idx="11">
                  <c:v>8.1299999999999997E-2</c:v>
                </c:pt>
                <c:pt idx="12">
                  <c:v>0.216</c:v>
                </c:pt>
                <c:pt idx="13">
                  <c:v>0.16800000000000001</c:v>
                </c:pt>
              </c:numCache>
            </c:numRef>
          </c:yVal>
          <c:smooth val="1"/>
          <c:extLst>
            <c:ext xmlns:c16="http://schemas.microsoft.com/office/drawing/2014/chart" uri="{C3380CC4-5D6E-409C-BE32-E72D297353CC}">
              <c16:uniqueId val="{00000003-3596-48C8-96A7-286CF0195243}"/>
            </c:ext>
          </c:extLst>
        </c:ser>
        <c:ser>
          <c:idx val="4"/>
          <c:order val="4"/>
          <c:tx>
            <c:v>U-235</c:v>
          </c:tx>
          <c:xVal>
            <c:numRef>
              <c:f>'Dose vs Small Area (Mid Conc.)'!$P$25:$P$38</c:f>
              <c:numCache>
                <c:formatCode>0.0000E+00</c:formatCode>
                <c:ptCount val="14"/>
                <c:pt idx="0">
                  <c:v>850582816244.50769</c:v>
                </c:pt>
                <c:pt idx="1">
                  <c:v>2126457040.611269</c:v>
                </c:pt>
                <c:pt idx="2">
                  <c:v>531614260.15281725</c:v>
                </c:pt>
                <c:pt idx="3">
                  <c:v>132903565.03820431</c:v>
                </c:pt>
                <c:pt idx="4">
                  <c:v>21264570.406112693</c:v>
                </c:pt>
                <c:pt idx="5">
                  <c:v>1329035.6503820433</c:v>
                </c:pt>
                <c:pt idx="6">
                  <c:v>850582.81624450767</c:v>
                </c:pt>
                <c:pt idx="7">
                  <c:v>212645.70406112692</c:v>
                </c:pt>
                <c:pt idx="8">
                  <c:v>53161.42601528173</c:v>
                </c:pt>
                <c:pt idx="9">
                  <c:v>2126.4570406112689</c:v>
                </c:pt>
                <c:pt idx="10">
                  <c:v>21.264570406112693</c:v>
                </c:pt>
                <c:pt idx="11">
                  <c:v>0.2126457040611269</c:v>
                </c:pt>
                <c:pt idx="12">
                  <c:v>2.1264570406112691E-3</c:v>
                </c:pt>
                <c:pt idx="13">
                  <c:v>2.1264570406112695E-5</c:v>
                </c:pt>
              </c:numCache>
            </c:numRef>
          </c:xVal>
          <c:yVal>
            <c:numRef>
              <c:f>'Dose vs Small Area (Mid Conc.)'!$Q$25:$Q$38</c:f>
              <c:numCache>
                <c:formatCode>0.0000E+00</c:formatCode>
                <c:ptCount val="14"/>
                <c:pt idx="0">
                  <c:v>1.15E-3</c:v>
                </c:pt>
                <c:pt idx="1">
                  <c:v>8.8800000000000001E-4</c:v>
                </c:pt>
                <c:pt idx="2">
                  <c:v>1.2600000000000001E-3</c:v>
                </c:pt>
                <c:pt idx="3">
                  <c:v>6.1799999999999995E-4</c:v>
                </c:pt>
                <c:pt idx="4">
                  <c:v>2.4499999999999999E-4</c:v>
                </c:pt>
                <c:pt idx="5">
                  <c:v>2.03E-4</c:v>
                </c:pt>
                <c:pt idx="6">
                  <c:v>2.33E-4</c:v>
                </c:pt>
                <c:pt idx="7">
                  <c:v>3.3199999999999999E-4</c:v>
                </c:pt>
                <c:pt idx="8">
                  <c:v>4.3899999999999999E-4</c:v>
                </c:pt>
                <c:pt idx="9">
                  <c:v>1.8799999999999999E-3</c:v>
                </c:pt>
                <c:pt idx="10">
                  <c:v>1.8200000000000001E-2</c:v>
                </c:pt>
                <c:pt idx="11">
                  <c:v>9.9900000000000003E-2</c:v>
                </c:pt>
                <c:pt idx="12">
                  <c:v>0.20799999999999999</c:v>
                </c:pt>
                <c:pt idx="13">
                  <c:v>0.157</c:v>
                </c:pt>
              </c:numCache>
            </c:numRef>
          </c:yVal>
          <c:smooth val="1"/>
          <c:extLst>
            <c:ext xmlns:c16="http://schemas.microsoft.com/office/drawing/2014/chart" uri="{C3380CC4-5D6E-409C-BE32-E72D297353CC}">
              <c16:uniqueId val="{00000004-3596-48C8-96A7-286CF0195243}"/>
            </c:ext>
          </c:extLst>
        </c:ser>
        <c:dLbls>
          <c:showLegendKey val="0"/>
          <c:showVal val="0"/>
          <c:showCatName val="0"/>
          <c:showSerName val="0"/>
          <c:showPercent val="0"/>
          <c:showBubbleSize val="0"/>
        </c:dLbls>
        <c:axId val="103114624"/>
        <c:axId val="103124992"/>
      </c:scatterChart>
      <c:valAx>
        <c:axId val="103114624"/>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124992"/>
        <c:crossesAt val="1.0000000000000002E-4"/>
        <c:crossBetween val="midCat"/>
      </c:valAx>
      <c:valAx>
        <c:axId val="103124992"/>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0E+00" sourceLinked="0"/>
        <c:majorTickMark val="out"/>
        <c:minorTickMark val="none"/>
        <c:tickLblPos val="low"/>
        <c:txPr>
          <a:bodyPr/>
          <a:lstStyle/>
          <a:p>
            <a:pPr>
              <a:defRPr sz="1100" b="0">
                <a:solidFill>
                  <a:schemeClr val="tx2">
                    <a:lumMod val="50000"/>
                  </a:schemeClr>
                </a:solidFill>
              </a:defRPr>
            </a:pPr>
            <a:endParaRPr lang="en-US"/>
          </a:p>
        </c:txPr>
        <c:crossAx val="10311462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U-238</c:v>
          </c:tx>
          <c:xVal>
            <c:numRef>
              <c:f>'Dose vs Small Area (Mid Conc.)'!$N$25:$N$37</c:f>
              <c:numCache>
                <c:formatCode>0.0000E+00</c:formatCode>
                <c:ptCount val="13"/>
                <c:pt idx="0">
                  <c:v>562249658.19552195</c:v>
                </c:pt>
                <c:pt idx="1">
                  <c:v>1405624.1454888049</c:v>
                </c:pt>
                <c:pt idx="2">
                  <c:v>351406.03637220123</c:v>
                </c:pt>
                <c:pt idx="3">
                  <c:v>87851.509093050307</c:v>
                </c:pt>
                <c:pt idx="4">
                  <c:v>14056.24145488805</c:v>
                </c:pt>
                <c:pt idx="5">
                  <c:v>878.51509093050311</c:v>
                </c:pt>
                <c:pt idx="6">
                  <c:v>562.24965819552199</c:v>
                </c:pt>
                <c:pt idx="7">
                  <c:v>140.5624145488805</c:v>
                </c:pt>
                <c:pt idx="8">
                  <c:v>35.140603637220124</c:v>
                </c:pt>
                <c:pt idx="9">
                  <c:v>1.405624145488805</c:v>
                </c:pt>
                <c:pt idx="10">
                  <c:v>1.4056241454888051E-2</c:v>
                </c:pt>
                <c:pt idx="11">
                  <c:v>1.4056241454888052E-4</c:v>
                </c:pt>
                <c:pt idx="12">
                  <c:v>1.4056241454888049E-6</c:v>
                </c:pt>
              </c:numCache>
            </c:numRef>
          </c:xVal>
          <c:yVal>
            <c:numRef>
              <c:f>'Dose vs Small Area (Mid Conc.)'!$O$25:$O$37</c:f>
              <c:numCache>
                <c:formatCode>0.0000E+00</c:formatCode>
                <c:ptCount val="13"/>
                <c:pt idx="0">
                  <c:v>1.7899999999999999E-3</c:v>
                </c:pt>
                <c:pt idx="1">
                  <c:v>2.7799999999999998E-2</c:v>
                </c:pt>
                <c:pt idx="2">
                  <c:v>4.02E-2</c:v>
                </c:pt>
                <c:pt idx="3">
                  <c:v>0.127</c:v>
                </c:pt>
                <c:pt idx="4">
                  <c:v>0.434</c:v>
                </c:pt>
                <c:pt idx="5">
                  <c:v>1.36</c:v>
                </c:pt>
                <c:pt idx="6">
                  <c:v>1.59</c:v>
                </c:pt>
                <c:pt idx="7">
                  <c:v>2.21</c:v>
                </c:pt>
                <c:pt idx="8">
                  <c:v>2.4700000000000002</c:v>
                </c:pt>
                <c:pt idx="9">
                  <c:v>1.2</c:v>
                </c:pt>
                <c:pt idx="10">
                  <c:v>0.307</c:v>
                </c:pt>
                <c:pt idx="11">
                  <c:v>0.17499999999999999</c:v>
                </c:pt>
                <c:pt idx="12">
                  <c:v>0.129</c:v>
                </c:pt>
              </c:numCache>
            </c:numRef>
          </c:yVal>
          <c:smooth val="1"/>
          <c:extLst>
            <c:ext xmlns:c16="http://schemas.microsoft.com/office/drawing/2014/chart" uri="{C3380CC4-5D6E-409C-BE32-E72D297353CC}">
              <c16:uniqueId val="{00000000-1143-4C4D-9FA1-39DE41833CED}"/>
            </c:ext>
          </c:extLst>
        </c:ser>
        <c:dLbls>
          <c:showLegendKey val="0"/>
          <c:showVal val="0"/>
          <c:showCatName val="0"/>
          <c:showSerName val="0"/>
          <c:showPercent val="0"/>
          <c:showBubbleSize val="0"/>
        </c:dLbls>
        <c:axId val="100744192"/>
        <c:axId val="103140736"/>
      </c:scatterChart>
      <c:valAx>
        <c:axId val="100744192"/>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140736"/>
        <c:crosses val="autoZero"/>
        <c:crossBetween val="midCat"/>
        <c:majorUnit val="100"/>
      </c:valAx>
      <c:valAx>
        <c:axId val="10314073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0E+00" sourceLinked="0"/>
        <c:majorTickMark val="out"/>
        <c:minorTickMark val="none"/>
        <c:tickLblPos val="low"/>
        <c:crossAx val="1007441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1"/>
          <c:order val="0"/>
          <c:tx>
            <c:v>K-40</c:v>
          </c:tx>
          <c:xVal>
            <c:numRef>
              <c:f>'Dose vs Small Area (Mid Conc.)'!$T$25:$T$37</c:f>
              <c:numCache>
                <c:formatCode>0.0000E+00</c:formatCode>
                <c:ptCount val="13"/>
                <c:pt idx="0">
                  <c:v>5466316121.3453512</c:v>
                </c:pt>
                <c:pt idx="1">
                  <c:v>13665790.303363377</c:v>
                </c:pt>
                <c:pt idx="2">
                  <c:v>3416447.5758408443</c:v>
                </c:pt>
                <c:pt idx="3">
                  <c:v>854111.89396021108</c:v>
                </c:pt>
                <c:pt idx="4">
                  <c:v>136657.90303363377</c:v>
                </c:pt>
                <c:pt idx="5">
                  <c:v>8541.1189396021109</c:v>
                </c:pt>
                <c:pt idx="6">
                  <c:v>5466.3161213453513</c:v>
                </c:pt>
                <c:pt idx="7">
                  <c:v>1366.5790303363378</c:v>
                </c:pt>
                <c:pt idx="8">
                  <c:v>341.64475758408446</c:v>
                </c:pt>
                <c:pt idx="9">
                  <c:v>13.665790303363378</c:v>
                </c:pt>
                <c:pt idx="10">
                  <c:v>0.13665790303363379</c:v>
                </c:pt>
                <c:pt idx="11">
                  <c:v>1.3665790303363378E-3</c:v>
                </c:pt>
                <c:pt idx="12">
                  <c:v>1.3665790303363378E-5</c:v>
                </c:pt>
              </c:numCache>
            </c:numRef>
          </c:xVal>
          <c:yVal>
            <c:numRef>
              <c:f>'Dose vs Small Area (Mid Conc.)'!$U$25:$U$37</c:f>
              <c:numCache>
                <c:formatCode>0.0000E+00</c:formatCode>
                <c:ptCount val="13"/>
                <c:pt idx="0">
                  <c:v>8.5599999999999999E-3</c:v>
                </c:pt>
                <c:pt idx="1">
                  <c:v>0.03</c:v>
                </c:pt>
                <c:pt idx="2">
                  <c:v>3.5299999999999998E-2</c:v>
                </c:pt>
                <c:pt idx="3">
                  <c:v>5.9700000000000003E-2</c:v>
                </c:pt>
                <c:pt idx="4">
                  <c:v>0.11799999999999999</c:v>
                </c:pt>
                <c:pt idx="5">
                  <c:v>0.30299999999999999</c:v>
                </c:pt>
                <c:pt idx="6">
                  <c:v>0.379</c:v>
                </c:pt>
                <c:pt idx="7">
                  <c:v>0.90600000000000003</c:v>
                </c:pt>
                <c:pt idx="8">
                  <c:v>2.3199999999999998</c:v>
                </c:pt>
                <c:pt idx="9">
                  <c:v>13.4</c:v>
                </c:pt>
                <c:pt idx="10">
                  <c:v>19.8</c:v>
                </c:pt>
                <c:pt idx="11">
                  <c:v>2.72</c:v>
                </c:pt>
                <c:pt idx="12">
                  <c:v>0.27500000000000002</c:v>
                </c:pt>
              </c:numCache>
            </c:numRef>
          </c:yVal>
          <c:smooth val="1"/>
          <c:extLst>
            <c:ext xmlns:c16="http://schemas.microsoft.com/office/drawing/2014/chart" uri="{C3380CC4-5D6E-409C-BE32-E72D297353CC}">
              <c16:uniqueId val="{00000000-453E-49E1-9B95-2FB50156AC24}"/>
            </c:ext>
          </c:extLst>
        </c:ser>
        <c:dLbls>
          <c:showLegendKey val="0"/>
          <c:showVal val="0"/>
          <c:showCatName val="0"/>
          <c:showSerName val="0"/>
          <c:showPercent val="0"/>
          <c:showBubbleSize val="0"/>
        </c:dLbls>
        <c:axId val="103202816"/>
        <c:axId val="103204736"/>
      </c:scatterChart>
      <c:valAx>
        <c:axId val="103202816"/>
        <c:scaling>
          <c:logBase val="10"/>
          <c:orientation val="minMax"/>
        </c:scaling>
        <c:delete val="0"/>
        <c:axPos val="b"/>
        <c:title>
          <c:tx>
            <c:rich>
              <a:bodyPr/>
              <a:lstStyle/>
              <a:p>
                <a:pPr>
                  <a:defRPr/>
                </a:pPr>
                <a:r>
                  <a:rPr lang="en-US"/>
                  <a:t>Area:Depth</a:t>
                </a:r>
              </a:p>
            </c:rich>
          </c:tx>
          <c:overlay val="0"/>
        </c:title>
        <c:numFmt formatCode="0.0000E+00" sourceLinked="1"/>
        <c:majorTickMark val="out"/>
        <c:minorTickMark val="none"/>
        <c:tickLblPos val="nextTo"/>
        <c:crossAx val="103204736"/>
        <c:crosses val="autoZero"/>
        <c:crossBetween val="midCat"/>
        <c:majorUnit val="100"/>
      </c:valAx>
      <c:valAx>
        <c:axId val="103204736"/>
        <c:scaling>
          <c:orientation val="minMax"/>
        </c:scaling>
        <c:delete val="0"/>
        <c:axPos val="l"/>
        <c:majorGridlines/>
        <c:title>
          <c:tx>
            <c:rich>
              <a:bodyPr rot="-5400000" vert="horz"/>
              <a:lstStyle/>
              <a:p>
                <a:pPr>
                  <a:defRPr/>
                </a:pPr>
                <a:r>
                  <a:rPr lang="en-US"/>
                  <a:t>Dose</a:t>
                </a:r>
                <a:r>
                  <a:rPr lang="en-US" baseline="0"/>
                  <a:t> (mR/yr)</a:t>
                </a:r>
                <a:endParaRPr lang="en-US"/>
              </a:p>
            </c:rich>
          </c:tx>
          <c:overlay val="0"/>
        </c:title>
        <c:numFmt formatCode="0" sourceLinked="0"/>
        <c:majorTickMark val="out"/>
        <c:minorTickMark val="none"/>
        <c:tickLblPos val="low"/>
        <c:crossAx val="1032028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5" Type="http://schemas.openxmlformats.org/officeDocument/2006/relationships/chart" Target="../charts/chart18.xml"/><Relationship Id="rId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1076325</xdr:colOff>
      <xdr:row>63</xdr:row>
      <xdr:rowOff>14287</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40</xdr:row>
      <xdr:rowOff>0</xdr:rowOff>
    </xdr:from>
    <xdr:to>
      <xdr:col>18</xdr:col>
      <xdr:colOff>47625</xdr:colOff>
      <xdr:row>63</xdr:row>
      <xdr:rowOff>14287</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65</xdr:row>
      <xdr:rowOff>0</xdr:rowOff>
    </xdr:from>
    <xdr:to>
      <xdr:col>9</xdr:col>
      <xdr:colOff>1076325</xdr:colOff>
      <xdr:row>88</xdr:row>
      <xdr:rowOff>14287</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65</xdr:row>
      <xdr:rowOff>0</xdr:rowOff>
    </xdr:from>
    <xdr:to>
      <xdr:col>18</xdr:col>
      <xdr:colOff>47625</xdr:colOff>
      <xdr:row>88</xdr:row>
      <xdr:rowOff>14287</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90</xdr:row>
      <xdr:rowOff>0</xdr:rowOff>
    </xdr:from>
    <xdr:to>
      <xdr:col>9</xdr:col>
      <xdr:colOff>1076325</xdr:colOff>
      <xdr:row>113</xdr:row>
      <xdr:rowOff>14287</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1076325</xdr:colOff>
      <xdr:row>63</xdr:row>
      <xdr:rowOff>14287</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40</xdr:row>
      <xdr:rowOff>0</xdr:rowOff>
    </xdr:from>
    <xdr:to>
      <xdr:col>18</xdr:col>
      <xdr:colOff>47625</xdr:colOff>
      <xdr:row>63</xdr:row>
      <xdr:rowOff>14287</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685800</xdr:colOff>
      <xdr:row>64</xdr:row>
      <xdr:rowOff>133350</xdr:rowOff>
    </xdr:from>
    <xdr:to>
      <xdr:col>18</xdr:col>
      <xdr:colOff>0</xdr:colOff>
      <xdr:row>87</xdr:row>
      <xdr:rowOff>147637</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95250</xdr:colOff>
      <xdr:row>64</xdr:row>
      <xdr:rowOff>123825</xdr:rowOff>
    </xdr:from>
    <xdr:to>
      <xdr:col>9</xdr:col>
      <xdr:colOff>1171575</xdr:colOff>
      <xdr:row>87</xdr:row>
      <xdr:rowOff>138112</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676275</xdr:colOff>
      <xdr:row>39</xdr:row>
      <xdr:rowOff>9525</xdr:rowOff>
    </xdr:from>
    <xdr:to>
      <xdr:col>9</xdr:col>
      <xdr:colOff>904875</xdr:colOff>
      <xdr:row>62</xdr:row>
      <xdr:rowOff>23812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695325</xdr:colOff>
      <xdr:row>38</xdr:row>
      <xdr:rowOff>161925</xdr:rowOff>
    </xdr:from>
    <xdr:to>
      <xdr:col>18</xdr:col>
      <xdr:colOff>9525</xdr:colOff>
      <xdr:row>61</xdr:row>
      <xdr:rowOff>176212</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704850</xdr:colOff>
      <xdr:row>63</xdr:row>
      <xdr:rowOff>152400</xdr:rowOff>
    </xdr:from>
    <xdr:to>
      <xdr:col>9</xdr:col>
      <xdr:colOff>933450</xdr:colOff>
      <xdr:row>86</xdr:row>
      <xdr:rowOff>166687</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64</xdr:row>
      <xdr:rowOff>0</xdr:rowOff>
    </xdr:from>
    <xdr:to>
      <xdr:col>18</xdr:col>
      <xdr:colOff>47625</xdr:colOff>
      <xdr:row>87</xdr:row>
      <xdr:rowOff>14287</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40</xdr:row>
      <xdr:rowOff>9525</xdr:rowOff>
    </xdr:from>
    <xdr:to>
      <xdr:col>9</xdr:col>
      <xdr:colOff>904875</xdr:colOff>
      <xdr:row>63</xdr:row>
      <xdr:rowOff>23812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695325</xdr:colOff>
      <xdr:row>39</xdr:row>
      <xdr:rowOff>161925</xdr:rowOff>
    </xdr:from>
    <xdr:to>
      <xdr:col>18</xdr:col>
      <xdr:colOff>9525</xdr:colOff>
      <xdr:row>62</xdr:row>
      <xdr:rowOff>176212</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704850</xdr:colOff>
      <xdr:row>64</xdr:row>
      <xdr:rowOff>152400</xdr:rowOff>
    </xdr:from>
    <xdr:to>
      <xdr:col>9</xdr:col>
      <xdr:colOff>933450</xdr:colOff>
      <xdr:row>87</xdr:row>
      <xdr:rowOff>166687</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65</xdr:row>
      <xdr:rowOff>0</xdr:rowOff>
    </xdr:from>
    <xdr:to>
      <xdr:col>18</xdr:col>
      <xdr:colOff>47625</xdr:colOff>
      <xdr:row>88</xdr:row>
      <xdr:rowOff>14287</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0</xdr:colOff>
      <xdr:row>65</xdr:row>
      <xdr:rowOff>0</xdr:rowOff>
    </xdr:from>
    <xdr:to>
      <xdr:col>26</xdr:col>
      <xdr:colOff>695325</xdr:colOff>
      <xdr:row>88</xdr:row>
      <xdr:rowOff>14287</xdr:rowOff>
    </xdr:to>
    <xdr:graphicFrame macro="">
      <xdr:nvGraphicFramePr>
        <xdr:cNvPr id="6" name="Chart 5" title="Th-Nat">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52"/>
  <sheetViews>
    <sheetView tabSelected="1" workbookViewId="0">
      <selection activeCell="A13" sqref="A13"/>
    </sheetView>
  </sheetViews>
  <sheetFormatPr defaultRowHeight="15" x14ac:dyDescent="0.25"/>
  <cols>
    <col min="1" max="1" width="49.5703125" customWidth="1"/>
    <col min="2" max="2" width="14.42578125" customWidth="1"/>
    <col min="3" max="3" width="0.5703125" hidden="1" customWidth="1"/>
    <col min="4" max="4" width="20.28515625" customWidth="1"/>
    <col min="5" max="5" width="17.140625" customWidth="1"/>
    <col min="6" max="6" width="12.28515625" customWidth="1"/>
    <col min="7" max="7" width="19.5703125" bestFit="1" customWidth="1"/>
    <col min="8" max="9" width="14.7109375" customWidth="1"/>
    <col min="10" max="10" width="19.7109375" customWidth="1"/>
    <col min="11" max="11" width="14.5703125" customWidth="1"/>
    <col min="12" max="12" width="21" customWidth="1"/>
    <col min="13" max="13" width="15.85546875" customWidth="1"/>
    <col min="14" max="14" width="1.5703125" style="34" customWidth="1"/>
    <col min="15" max="15" width="12.42578125" style="24" customWidth="1"/>
    <col min="16" max="16" width="14.140625" style="24" customWidth="1"/>
    <col min="17" max="17" width="12.28515625" customWidth="1"/>
    <col min="18" max="20" width="14.7109375" customWidth="1"/>
    <col min="21" max="22" width="16.28515625" customWidth="1"/>
    <col min="23" max="24" width="15.85546875" customWidth="1"/>
    <col min="25" max="25" width="1.42578125" style="34" customWidth="1"/>
    <col min="26" max="27" width="14.7109375" style="28" customWidth="1"/>
    <col min="28" max="28" width="12.28515625" customWidth="1"/>
    <col min="29" max="31" width="14.7109375" customWidth="1"/>
    <col min="32" max="33" width="16.85546875" customWidth="1"/>
    <col min="34" max="35" width="20.140625" customWidth="1"/>
  </cols>
  <sheetData>
    <row r="1" spans="1:27" ht="23.25" x14ac:dyDescent="0.35">
      <c r="A1" s="436" t="s">
        <v>283</v>
      </c>
      <c r="B1" s="436"/>
      <c r="C1" s="436"/>
      <c r="D1" s="436"/>
      <c r="E1" s="436"/>
      <c r="F1" s="436"/>
      <c r="G1" s="436"/>
      <c r="H1" s="436"/>
      <c r="I1" s="436"/>
      <c r="J1" s="436"/>
      <c r="K1" s="436"/>
      <c r="L1" s="436"/>
      <c r="M1" s="436"/>
      <c r="N1" s="436"/>
      <c r="O1" s="436"/>
      <c r="P1" s="436"/>
      <c r="Q1" s="436"/>
      <c r="Y1"/>
      <c r="Z1"/>
      <c r="AA1"/>
    </row>
    <row r="2" spans="1:27" ht="15.75" thickBot="1" x14ac:dyDescent="0.3">
      <c r="N2"/>
      <c r="O2"/>
      <c r="P2"/>
      <c r="Q2" s="34"/>
      <c r="R2" s="24"/>
      <c r="S2" s="24"/>
      <c r="Y2"/>
      <c r="Z2"/>
      <c r="AA2"/>
    </row>
    <row r="3" spans="1:27" x14ac:dyDescent="0.25">
      <c r="B3" s="437" t="s">
        <v>84</v>
      </c>
      <c r="C3" s="438"/>
      <c r="D3" s="438"/>
      <c r="E3" s="438"/>
      <c r="F3" s="438"/>
      <c r="G3" s="438"/>
      <c r="H3" s="438"/>
      <c r="I3" s="438"/>
      <c r="J3" s="438"/>
      <c r="K3" s="438"/>
      <c r="L3" s="438"/>
      <c r="M3" s="438"/>
      <c r="N3" s="438"/>
      <c r="O3" s="438"/>
      <c r="P3" s="438"/>
      <c r="Q3" s="438"/>
      <c r="R3" s="438"/>
      <c r="S3" s="438"/>
      <c r="T3" s="439"/>
      <c r="Z3"/>
      <c r="AA3"/>
    </row>
    <row r="4" spans="1:27" x14ac:dyDescent="0.25">
      <c r="B4" s="440" t="s">
        <v>85</v>
      </c>
      <c r="C4" s="413"/>
      <c r="D4" s="413"/>
      <c r="E4" s="413"/>
      <c r="F4" s="413"/>
      <c r="G4" s="413"/>
      <c r="H4" s="413"/>
      <c r="I4" s="413"/>
      <c r="J4" s="413"/>
      <c r="K4" s="413"/>
      <c r="L4" s="413"/>
      <c r="M4" s="413"/>
      <c r="N4" s="413"/>
      <c r="O4" s="413"/>
      <c r="P4" s="413"/>
      <c r="Q4" s="413"/>
      <c r="R4" s="413"/>
      <c r="S4" s="413"/>
      <c r="T4" s="441"/>
      <c r="Z4"/>
      <c r="AA4"/>
    </row>
    <row r="5" spans="1:27" ht="4.5" customHeight="1" x14ac:dyDescent="0.25">
      <c r="B5" s="53"/>
      <c r="C5" s="54"/>
      <c r="D5" s="54"/>
      <c r="E5" s="54"/>
      <c r="F5" s="54"/>
      <c r="G5" s="54"/>
      <c r="H5" s="54"/>
      <c r="I5" s="54"/>
      <c r="J5" s="54"/>
      <c r="K5" s="54"/>
      <c r="L5" s="54"/>
      <c r="M5" s="54"/>
      <c r="N5" s="54"/>
      <c r="O5" s="55"/>
      <c r="P5" s="52"/>
      <c r="Q5" s="5"/>
      <c r="R5" s="5"/>
      <c r="S5" s="5"/>
      <c r="T5" s="51"/>
      <c r="Z5"/>
      <c r="AA5"/>
    </row>
    <row r="6" spans="1:27" x14ac:dyDescent="0.25">
      <c r="B6" s="440" t="s">
        <v>89</v>
      </c>
      <c r="C6" s="413"/>
      <c r="D6" s="413"/>
      <c r="E6" s="413"/>
      <c r="F6" s="413"/>
      <c r="G6" s="413"/>
      <c r="H6" s="413"/>
      <c r="I6" s="413"/>
      <c r="J6" s="413"/>
      <c r="K6" s="413"/>
      <c r="L6" s="413"/>
      <c r="M6" s="413"/>
      <c r="N6" s="413"/>
      <c r="O6" s="413"/>
      <c r="P6" s="413"/>
      <c r="Q6" s="413"/>
      <c r="R6" s="413"/>
      <c r="S6" s="413"/>
      <c r="T6" s="441"/>
      <c r="Z6"/>
      <c r="AA6"/>
    </row>
    <row r="7" spans="1:27" x14ac:dyDescent="0.25">
      <c r="B7" s="440" t="s">
        <v>88</v>
      </c>
      <c r="C7" s="413"/>
      <c r="D7" s="413"/>
      <c r="E7" s="413"/>
      <c r="F7" s="413"/>
      <c r="G7" s="413"/>
      <c r="H7" s="413"/>
      <c r="I7" s="413"/>
      <c r="J7" s="413"/>
      <c r="K7" s="413"/>
      <c r="L7" s="413"/>
      <c r="M7" s="413"/>
      <c r="N7" s="413"/>
      <c r="O7" s="413"/>
      <c r="P7" s="413"/>
      <c r="Q7" s="413"/>
      <c r="R7" s="413"/>
      <c r="S7" s="413"/>
      <c r="T7" s="441"/>
      <c r="Z7"/>
      <c r="AA7"/>
    </row>
    <row r="8" spans="1:27" x14ac:dyDescent="0.25">
      <c r="B8" s="440" t="s">
        <v>90</v>
      </c>
      <c r="C8" s="413"/>
      <c r="D8" s="413"/>
      <c r="E8" s="413"/>
      <c r="F8" s="413"/>
      <c r="G8" s="413"/>
      <c r="H8" s="413"/>
      <c r="I8" s="413"/>
      <c r="J8" s="413"/>
      <c r="K8" s="413"/>
      <c r="L8" s="413"/>
      <c r="M8" s="413"/>
      <c r="N8" s="413"/>
      <c r="O8" s="413"/>
      <c r="P8" s="413"/>
      <c r="Q8" s="413"/>
      <c r="R8" s="413"/>
      <c r="S8" s="413"/>
      <c r="T8" s="441"/>
      <c r="Z8"/>
      <c r="AA8"/>
    </row>
    <row r="9" spans="1:27" x14ac:dyDescent="0.25">
      <c r="B9" s="440" t="s">
        <v>91</v>
      </c>
      <c r="C9" s="413"/>
      <c r="D9" s="413"/>
      <c r="E9" s="413"/>
      <c r="F9" s="413"/>
      <c r="G9" s="413"/>
      <c r="H9" s="413"/>
      <c r="I9" s="413"/>
      <c r="J9" s="413"/>
      <c r="K9" s="413"/>
      <c r="L9" s="413"/>
      <c r="M9" s="413"/>
      <c r="N9" s="413"/>
      <c r="O9" s="413"/>
      <c r="P9" s="413"/>
      <c r="Q9" s="413"/>
      <c r="R9" s="413"/>
      <c r="S9" s="413"/>
      <c r="T9" s="441"/>
      <c r="Z9"/>
      <c r="AA9"/>
    </row>
    <row r="10" spans="1:27" x14ac:dyDescent="0.25">
      <c r="B10" s="440" t="s">
        <v>92</v>
      </c>
      <c r="C10" s="413"/>
      <c r="D10" s="413"/>
      <c r="E10" s="413"/>
      <c r="F10" s="413"/>
      <c r="G10" s="413"/>
      <c r="H10" s="413"/>
      <c r="I10" s="413"/>
      <c r="J10" s="413"/>
      <c r="K10" s="413"/>
      <c r="L10" s="413"/>
      <c r="M10" s="413"/>
      <c r="N10" s="413"/>
      <c r="O10" s="413"/>
      <c r="P10" s="413"/>
      <c r="Q10" s="413"/>
      <c r="R10" s="413"/>
      <c r="S10" s="413"/>
      <c r="T10" s="441"/>
      <c r="Z10"/>
      <c r="AA10"/>
    </row>
    <row r="11" spans="1:27" ht="4.5" customHeight="1" x14ac:dyDescent="0.25">
      <c r="B11" s="53"/>
      <c r="C11" s="54"/>
      <c r="D11" s="54"/>
      <c r="E11" s="54"/>
      <c r="F11" s="54"/>
      <c r="G11" s="54"/>
      <c r="H11" s="54"/>
      <c r="I11" s="54"/>
      <c r="J11" s="54"/>
      <c r="K11" s="54"/>
      <c r="L11" s="54"/>
      <c r="M11" s="54"/>
      <c r="N11" s="54"/>
      <c r="O11" s="55"/>
      <c r="P11" s="52"/>
      <c r="Q11" s="5"/>
      <c r="R11" s="5"/>
      <c r="S11" s="5"/>
      <c r="T11" s="51"/>
      <c r="Z11"/>
      <c r="AA11"/>
    </row>
    <row r="12" spans="1:27" x14ac:dyDescent="0.25">
      <c r="A12" s="164" t="s">
        <v>93</v>
      </c>
      <c r="B12" s="440" t="s">
        <v>94</v>
      </c>
      <c r="C12" s="413"/>
      <c r="D12" s="413"/>
      <c r="E12" s="413"/>
      <c r="F12" s="413"/>
      <c r="G12" s="413"/>
      <c r="H12" s="413"/>
      <c r="I12" s="413"/>
      <c r="J12" s="413"/>
      <c r="K12" s="413"/>
      <c r="L12" s="413"/>
      <c r="M12" s="413"/>
      <c r="N12" s="413"/>
      <c r="O12" s="413"/>
      <c r="P12" s="413"/>
      <c r="Q12" s="413"/>
      <c r="R12" s="413"/>
      <c r="S12" s="413"/>
      <c r="T12" s="441"/>
      <c r="Z12"/>
      <c r="AA12"/>
    </row>
    <row r="13" spans="1:27" x14ac:dyDescent="0.25">
      <c r="A13" s="164"/>
      <c r="B13" s="440" t="s">
        <v>95</v>
      </c>
      <c r="C13" s="413"/>
      <c r="D13" s="413"/>
      <c r="E13" s="413"/>
      <c r="F13" s="413"/>
      <c r="G13" s="413"/>
      <c r="H13" s="413"/>
      <c r="I13" s="413"/>
      <c r="J13" s="413"/>
      <c r="K13" s="413"/>
      <c r="L13" s="413"/>
      <c r="M13" s="413"/>
      <c r="N13" s="413"/>
      <c r="O13" s="413"/>
      <c r="P13" s="413"/>
      <c r="Q13" s="413"/>
      <c r="R13" s="413"/>
      <c r="S13" s="413"/>
      <c r="T13" s="441"/>
      <c r="Z13"/>
      <c r="AA13"/>
    </row>
    <row r="14" spans="1:27" x14ac:dyDescent="0.25">
      <c r="B14" s="440" t="s">
        <v>109</v>
      </c>
      <c r="C14" s="413"/>
      <c r="D14" s="413"/>
      <c r="E14" s="413"/>
      <c r="F14" s="413"/>
      <c r="G14" s="413"/>
      <c r="H14" s="413"/>
      <c r="I14" s="413"/>
      <c r="J14" s="413"/>
      <c r="K14" s="413"/>
      <c r="L14" s="413"/>
      <c r="M14" s="413"/>
      <c r="N14" s="413"/>
      <c r="O14" s="413"/>
      <c r="P14" s="413"/>
      <c r="Q14" s="413"/>
      <c r="R14" s="413"/>
      <c r="S14" s="413"/>
      <c r="T14" s="441"/>
      <c r="Z14"/>
      <c r="AA14"/>
    </row>
    <row r="15" spans="1:27" x14ac:dyDescent="0.25">
      <c r="B15" s="157" t="s">
        <v>108</v>
      </c>
      <c r="C15" s="158"/>
      <c r="D15" s="158"/>
      <c r="E15" s="158"/>
      <c r="F15" s="158"/>
      <c r="G15" s="158"/>
      <c r="H15" s="158"/>
      <c r="I15" s="158"/>
      <c r="J15" s="158"/>
      <c r="K15" s="158"/>
      <c r="L15" s="158"/>
      <c r="M15" s="158"/>
      <c r="N15" s="158"/>
      <c r="O15" s="158"/>
      <c r="P15" s="158"/>
      <c r="Q15" s="158"/>
      <c r="R15" s="158"/>
      <c r="S15" s="158"/>
      <c r="T15" s="159"/>
      <c r="Z15"/>
      <c r="AA15"/>
    </row>
    <row r="16" spans="1:27" ht="15.75" thickBot="1" x14ac:dyDescent="0.3">
      <c r="B16" s="418" t="s">
        <v>110</v>
      </c>
      <c r="C16" s="419"/>
      <c r="D16" s="419"/>
      <c r="E16" s="419"/>
      <c r="F16" s="419"/>
      <c r="G16" s="419"/>
      <c r="H16" s="419"/>
      <c r="I16" s="419"/>
      <c r="J16" s="419"/>
      <c r="K16" s="419"/>
      <c r="L16" s="419"/>
      <c r="M16" s="419"/>
      <c r="N16" s="419"/>
      <c r="O16" s="419"/>
      <c r="P16" s="419"/>
      <c r="Q16" s="419"/>
      <c r="R16" s="419"/>
      <c r="S16" s="419"/>
      <c r="T16" s="420"/>
      <c r="Z16"/>
      <c r="AA16"/>
    </row>
    <row r="17" spans="1:35" ht="15.75" thickBot="1" x14ac:dyDescent="0.3">
      <c r="B17" s="1"/>
      <c r="C17" s="1"/>
      <c r="D17" s="1"/>
      <c r="E17" s="4"/>
      <c r="F17" s="6"/>
      <c r="G17" s="6"/>
      <c r="H17" s="6"/>
      <c r="I17" s="6"/>
      <c r="J17" s="6"/>
      <c r="K17" s="6"/>
      <c r="L17" s="6"/>
      <c r="M17" s="6"/>
      <c r="N17" s="27"/>
      <c r="O17" s="23"/>
      <c r="P17" s="23"/>
      <c r="Q17" s="6"/>
      <c r="R17" s="6"/>
      <c r="S17" s="6"/>
      <c r="T17" s="6"/>
      <c r="U17" s="6"/>
      <c r="V17" s="6"/>
      <c r="W17" s="6"/>
      <c r="X17" s="6"/>
      <c r="Y17" s="27"/>
      <c r="Z17" s="27"/>
      <c r="AA17" s="27"/>
      <c r="AB17" s="6"/>
      <c r="AC17" s="6"/>
      <c r="AD17" s="6"/>
      <c r="AE17" s="5"/>
    </row>
    <row r="18" spans="1:35" ht="6.75" customHeight="1" thickBot="1" x14ac:dyDescent="0.3">
      <c r="A18" s="442"/>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4"/>
      <c r="AI18" s="170"/>
    </row>
    <row r="19" spans="1:35" ht="30.75" thickBot="1" x14ac:dyDescent="0.3">
      <c r="A19" s="35"/>
      <c r="B19" s="165" t="s">
        <v>86</v>
      </c>
      <c r="C19" s="36" t="s">
        <v>14</v>
      </c>
      <c r="D19" s="148" t="s">
        <v>87</v>
      </c>
      <c r="E19" s="165" t="s">
        <v>17</v>
      </c>
      <c r="F19" s="425" t="s">
        <v>274</v>
      </c>
      <c r="G19" s="426"/>
      <c r="H19" s="426"/>
      <c r="I19" s="426"/>
      <c r="J19" s="426"/>
      <c r="K19" s="426"/>
      <c r="L19" s="426"/>
      <c r="M19" s="160"/>
      <c r="N19" s="33"/>
      <c r="O19" s="427" t="s">
        <v>273</v>
      </c>
      <c r="P19" s="428"/>
      <c r="Q19" s="428"/>
      <c r="R19" s="428"/>
      <c r="S19" s="428"/>
      <c r="T19" s="428"/>
      <c r="U19" s="428"/>
      <c r="V19" s="428"/>
      <c r="W19" s="428"/>
      <c r="X19" s="161"/>
      <c r="Y19" s="33"/>
      <c r="Z19" s="429" t="s">
        <v>272</v>
      </c>
      <c r="AA19" s="430"/>
      <c r="AB19" s="430"/>
      <c r="AC19" s="430"/>
      <c r="AD19" s="430"/>
      <c r="AE19" s="430"/>
      <c r="AF19" s="430"/>
      <c r="AG19" s="430"/>
      <c r="AH19" s="430"/>
      <c r="AI19" s="162"/>
    </row>
    <row r="20" spans="1:35" ht="97.5" customHeight="1" thickBot="1" x14ac:dyDescent="0.3">
      <c r="A20" s="423" t="s">
        <v>0</v>
      </c>
      <c r="B20" s="424"/>
      <c r="C20" s="424"/>
      <c r="D20" s="424"/>
      <c r="E20" s="144"/>
      <c r="F20" s="182" t="s">
        <v>98</v>
      </c>
      <c r="G20" s="183" t="s">
        <v>100</v>
      </c>
      <c r="H20" s="182" t="s">
        <v>97</v>
      </c>
      <c r="I20" s="184" t="s">
        <v>96</v>
      </c>
      <c r="J20" s="185" t="s">
        <v>99</v>
      </c>
      <c r="K20" s="183" t="s">
        <v>102</v>
      </c>
      <c r="L20" s="183" t="s">
        <v>101</v>
      </c>
      <c r="M20" s="16" t="s">
        <v>103</v>
      </c>
      <c r="N20" s="33"/>
      <c r="O20" s="431" t="s">
        <v>0</v>
      </c>
      <c r="P20" s="432"/>
      <c r="Q20" s="178" t="s">
        <v>98</v>
      </c>
      <c r="R20" s="179" t="s">
        <v>100</v>
      </c>
      <c r="S20" s="178" t="s">
        <v>97</v>
      </c>
      <c r="T20" s="180" t="s">
        <v>96</v>
      </c>
      <c r="U20" s="181" t="s">
        <v>99</v>
      </c>
      <c r="V20" s="179" t="s">
        <v>102</v>
      </c>
      <c r="W20" s="179" t="s">
        <v>101</v>
      </c>
      <c r="X20" s="11" t="s">
        <v>103</v>
      </c>
      <c r="Y20" s="33"/>
      <c r="Z20" s="433" t="s">
        <v>0</v>
      </c>
      <c r="AA20" s="434"/>
      <c r="AB20" s="171" t="s">
        <v>98</v>
      </c>
      <c r="AC20" s="172" t="s">
        <v>100</v>
      </c>
      <c r="AD20" s="171" t="s">
        <v>97</v>
      </c>
      <c r="AE20" s="173" t="s">
        <v>96</v>
      </c>
      <c r="AF20" s="174" t="s">
        <v>99</v>
      </c>
      <c r="AG20" s="172" t="s">
        <v>102</v>
      </c>
      <c r="AH20" s="172" t="s">
        <v>101</v>
      </c>
      <c r="AI20" s="7" t="s">
        <v>103</v>
      </c>
    </row>
    <row r="21" spans="1:35" x14ac:dyDescent="0.25">
      <c r="A21" s="258" t="s">
        <v>144</v>
      </c>
      <c r="B21" s="240">
        <v>3</v>
      </c>
      <c r="C21" s="240">
        <v>0.1</v>
      </c>
      <c r="D21" s="240">
        <v>10</v>
      </c>
      <c r="E21" s="241">
        <f t="shared" ref="E21:E27" si="0">(D21)*1000000</f>
        <v>10000000</v>
      </c>
      <c r="F21" s="17">
        <f>(((E21)/(B21))/1000)*2.20462</f>
        <v>7348.7333333333327</v>
      </c>
      <c r="G21" s="18">
        <f>(F21)/90</f>
        <v>81.652592592592583</v>
      </c>
      <c r="H21" s="106">
        <f>((G21)*0.0283168)/1000</f>
        <v>2.3121401339259258E-3</v>
      </c>
      <c r="I21" s="107">
        <f>((G21)*0.0283168)/20000</f>
        <v>1.1560700669629629E-4</v>
      </c>
      <c r="J21" s="62"/>
      <c r="K21" s="62"/>
      <c r="L21" s="62"/>
      <c r="M21" s="56"/>
      <c r="N21" s="25"/>
      <c r="O21" s="29" t="s">
        <v>1</v>
      </c>
      <c r="P21" s="30">
        <v>16.5</v>
      </c>
      <c r="Q21" s="12">
        <f>(((E21)/(P21))/1000)*2.20462</f>
        <v>1336.1333333333334</v>
      </c>
      <c r="R21" s="13">
        <f>(Q21)/90</f>
        <v>14.845925925925927</v>
      </c>
      <c r="S21" s="114">
        <f>((R21)*0.0283168)/1000</f>
        <v>4.2038911525925929E-4</v>
      </c>
      <c r="T21" s="115">
        <f>((R21)*0.0283168)/20000</f>
        <v>2.1019455762962967E-5</v>
      </c>
      <c r="U21" s="195"/>
      <c r="V21" s="63"/>
      <c r="W21" s="195"/>
      <c r="X21" s="58"/>
      <c r="Y21" s="25"/>
      <c r="Z21" s="38" t="s">
        <v>1</v>
      </c>
      <c r="AA21" s="39">
        <f>(B21)*10</f>
        <v>30</v>
      </c>
      <c r="AB21" s="8">
        <f>(((E21)/(AA21))/1000)*2.20462</f>
        <v>734.87333333333322</v>
      </c>
      <c r="AC21" s="9">
        <f>(AB21)/90</f>
        <v>8.1652592592592583</v>
      </c>
      <c r="AD21" s="120">
        <f>((AC21)*0.0283168)/1000</f>
        <v>2.3121401339259258E-4</v>
      </c>
      <c r="AE21" s="121">
        <f>((AC21)*0.0283168)/20000</f>
        <v>1.1560700669629627E-5</v>
      </c>
      <c r="AF21" s="191"/>
      <c r="AG21" s="22"/>
      <c r="AH21" s="22"/>
      <c r="AI21" s="21"/>
    </row>
    <row r="22" spans="1:35" x14ac:dyDescent="0.25">
      <c r="A22" s="257" t="s">
        <v>79</v>
      </c>
      <c r="B22" s="65">
        <v>3</v>
      </c>
      <c r="C22" s="65">
        <v>0.1</v>
      </c>
      <c r="D22" s="65">
        <v>1</v>
      </c>
      <c r="E22" s="145">
        <f t="shared" si="0"/>
        <v>1000000</v>
      </c>
      <c r="F22" s="17">
        <f t="shared" ref="F22:F35" si="1">(((E22)/(B22))/1000)*2.20462</f>
        <v>734.87333333333322</v>
      </c>
      <c r="G22" s="18">
        <f t="shared" ref="G22:G35" si="2">(F22)/90</f>
        <v>8.1652592592592583</v>
      </c>
      <c r="H22" s="108">
        <f t="shared" ref="H22:H35" si="3">((G22)*0.0283168)/1000</f>
        <v>2.3121401339259258E-4</v>
      </c>
      <c r="I22" s="109">
        <f t="shared" ref="I22:I35" si="4">((G22)*0.0283168)/20000</f>
        <v>1.1560700669629627E-5</v>
      </c>
      <c r="J22" s="188">
        <v>3.1E-4</v>
      </c>
      <c r="K22" s="56"/>
      <c r="L22" s="188">
        <v>8.3999999999999992E-6</v>
      </c>
      <c r="M22" s="56"/>
      <c r="N22" s="25"/>
      <c r="O22" s="29" t="s">
        <v>2</v>
      </c>
      <c r="P22" s="30">
        <v>16.5</v>
      </c>
      <c r="Q22" s="12">
        <f t="shared" ref="Q22:Q35" si="5">(((E22)/(P22))/1000)*2.20462</f>
        <v>133.61333333333332</v>
      </c>
      <c r="R22" s="13">
        <f t="shared" ref="R22:R35" si="6">(Q22)/90</f>
        <v>1.4845925925925925</v>
      </c>
      <c r="S22" s="116">
        <f t="shared" ref="S22:S35" si="7">((R22)*0.0283168)/1000</f>
        <v>4.203891152592592E-5</v>
      </c>
      <c r="T22" s="117">
        <f t="shared" ref="T22:T35" si="8">((R22)*0.0283168)/20000</f>
        <v>2.1019455762962958E-6</v>
      </c>
      <c r="U22" s="196">
        <v>1.9000000000000001E-4</v>
      </c>
      <c r="V22" s="58"/>
      <c r="W22" s="196">
        <v>1.2E-5</v>
      </c>
      <c r="X22" s="58"/>
      <c r="Y22" s="25"/>
      <c r="Z22" s="38" t="s">
        <v>2</v>
      </c>
      <c r="AA22" s="39">
        <f t="shared" ref="AA22:AA25" si="9">(B22)*10</f>
        <v>30</v>
      </c>
      <c r="AB22" s="8">
        <f t="shared" ref="AB22:AB35" si="10">(((E22)/(AA22))/1000)*2.20462</f>
        <v>73.487333333333325</v>
      </c>
      <c r="AC22" s="9">
        <f t="shared" ref="AC22:AC35" si="11">(AB22)/90</f>
        <v>0.81652592592592588</v>
      </c>
      <c r="AD22" s="122">
        <f t="shared" ref="AD22:AD35" si="12">((AC22)*0.0283168)/1000</f>
        <v>2.3121401339259255E-5</v>
      </c>
      <c r="AE22" s="112">
        <f t="shared" ref="AE22:AE35" si="13">((AC22)*0.0283168)/20000</f>
        <v>1.1560700669629628E-6</v>
      </c>
      <c r="AF22" s="191">
        <v>1.2999999999999999E-4</v>
      </c>
      <c r="AG22" s="22"/>
      <c r="AH22" s="192">
        <v>6.8999999999999997E-5</v>
      </c>
      <c r="AI22" s="21"/>
    </row>
    <row r="23" spans="1:35" ht="30" x14ac:dyDescent="0.25">
      <c r="A23" s="257" t="s">
        <v>80</v>
      </c>
      <c r="B23" s="65">
        <v>3</v>
      </c>
      <c r="C23" s="65">
        <v>0.1</v>
      </c>
      <c r="D23" s="168">
        <v>7.5</v>
      </c>
      <c r="E23" s="145">
        <f t="shared" si="0"/>
        <v>7500000</v>
      </c>
      <c r="F23" s="17">
        <f t="shared" si="1"/>
        <v>5511.5499999999993</v>
      </c>
      <c r="G23" s="18">
        <f t="shared" si="2"/>
        <v>61.239444444444437</v>
      </c>
      <c r="H23" s="108">
        <f t="shared" si="3"/>
        <v>1.7341051004444443E-3</v>
      </c>
      <c r="I23" s="109">
        <f t="shared" si="4"/>
        <v>8.6705255022222216E-5</v>
      </c>
      <c r="J23" s="60">
        <v>0.68910000000000005</v>
      </c>
      <c r="K23" s="56">
        <v>0</v>
      </c>
      <c r="L23" s="60">
        <v>2.8600000000000001E-3</v>
      </c>
      <c r="M23" s="56">
        <v>0</v>
      </c>
      <c r="N23" s="25"/>
      <c r="O23" s="29" t="s">
        <v>3</v>
      </c>
      <c r="P23" s="30">
        <v>16.5</v>
      </c>
      <c r="Q23" s="12">
        <f t="shared" si="5"/>
        <v>1002.0999999999998</v>
      </c>
      <c r="R23" s="13">
        <f t="shared" si="6"/>
        <v>11.134444444444442</v>
      </c>
      <c r="S23" s="116">
        <f t="shared" si="7"/>
        <v>3.1529183644444435E-4</v>
      </c>
      <c r="T23" s="117">
        <f t="shared" si="8"/>
        <v>1.5764591822222217E-5</v>
      </c>
      <c r="U23" s="61">
        <v>0.1381</v>
      </c>
      <c r="V23" s="58">
        <v>0</v>
      </c>
      <c r="W23" s="196">
        <v>2.3800000000000002E-3</v>
      </c>
      <c r="X23" s="58"/>
      <c r="Y23" s="25"/>
      <c r="Z23" s="38" t="s">
        <v>3</v>
      </c>
      <c r="AA23" s="39">
        <f t="shared" si="9"/>
        <v>30</v>
      </c>
      <c r="AB23" s="8">
        <f t="shared" si="10"/>
        <v>551.15499999999997</v>
      </c>
      <c r="AC23" s="9">
        <f t="shared" si="11"/>
        <v>6.1239444444444437</v>
      </c>
      <c r="AD23" s="122">
        <f t="shared" si="12"/>
        <v>1.734105100444444E-4</v>
      </c>
      <c r="AE23" s="112">
        <f t="shared" si="13"/>
        <v>8.6705255022222206E-6</v>
      </c>
      <c r="AF23" s="175">
        <v>8.0119999999999997E-2</v>
      </c>
      <c r="AG23" s="22">
        <v>0</v>
      </c>
      <c r="AH23" s="192">
        <v>4.3899999999999998E-3</v>
      </c>
      <c r="AI23" s="21"/>
    </row>
    <row r="24" spans="1:35" x14ac:dyDescent="0.25">
      <c r="A24" s="257" t="s">
        <v>81</v>
      </c>
      <c r="B24" s="65">
        <v>3</v>
      </c>
      <c r="C24" s="65">
        <v>0.1</v>
      </c>
      <c r="D24" s="65">
        <v>10</v>
      </c>
      <c r="E24" s="145">
        <f t="shared" si="0"/>
        <v>10000000</v>
      </c>
      <c r="F24" s="17">
        <f t="shared" si="1"/>
        <v>7348.7333333333327</v>
      </c>
      <c r="G24" s="18">
        <f t="shared" si="2"/>
        <v>81.652592592592583</v>
      </c>
      <c r="H24" s="108">
        <f t="shared" si="3"/>
        <v>2.3121401339259258E-3</v>
      </c>
      <c r="I24" s="109">
        <f t="shared" si="4"/>
        <v>1.1560700669629629E-4</v>
      </c>
      <c r="J24" s="188">
        <v>0.18</v>
      </c>
      <c r="K24" s="56"/>
      <c r="L24" s="188">
        <v>7.5000000000000002E-4</v>
      </c>
      <c r="M24" s="56"/>
      <c r="N24" s="25"/>
      <c r="O24" s="29" t="s">
        <v>4</v>
      </c>
      <c r="P24" s="30">
        <v>16.5</v>
      </c>
      <c r="Q24" s="12">
        <f t="shared" si="5"/>
        <v>1336.1333333333334</v>
      </c>
      <c r="R24" s="13">
        <f t="shared" si="6"/>
        <v>14.845925925925927</v>
      </c>
      <c r="S24" s="116">
        <f t="shared" si="7"/>
        <v>4.2038911525925929E-4</v>
      </c>
      <c r="T24" s="117">
        <f t="shared" si="8"/>
        <v>2.1019455762962967E-5</v>
      </c>
      <c r="U24" s="196">
        <v>0.12</v>
      </c>
      <c r="V24" s="58"/>
      <c r="W24" s="196">
        <v>6.4000000000000005E-4</v>
      </c>
      <c r="X24" s="58"/>
      <c r="Y24" s="25"/>
      <c r="Z24" s="38" t="s">
        <v>4</v>
      </c>
      <c r="AA24" s="39">
        <f t="shared" si="9"/>
        <v>30</v>
      </c>
      <c r="AB24" s="8">
        <f t="shared" si="10"/>
        <v>734.87333333333322</v>
      </c>
      <c r="AC24" s="9">
        <f t="shared" si="11"/>
        <v>8.1652592592592583</v>
      </c>
      <c r="AD24" s="122">
        <f t="shared" si="12"/>
        <v>2.3121401339259258E-4</v>
      </c>
      <c r="AE24" s="112">
        <f t="shared" si="13"/>
        <v>1.1560700669629627E-5</v>
      </c>
      <c r="AF24" s="192">
        <v>1.7999999999999999E-2</v>
      </c>
      <c r="AG24" s="22"/>
      <c r="AH24" s="192">
        <v>6.6E-4</v>
      </c>
      <c r="AI24" s="21"/>
    </row>
    <row r="25" spans="1:35" ht="30" x14ac:dyDescent="0.25">
      <c r="A25" s="257" t="s">
        <v>194</v>
      </c>
      <c r="B25" s="65">
        <v>3</v>
      </c>
      <c r="C25" s="65">
        <v>0.1</v>
      </c>
      <c r="D25" s="65">
        <v>0.1</v>
      </c>
      <c r="E25" s="145">
        <f t="shared" si="0"/>
        <v>100000</v>
      </c>
      <c r="F25" s="17">
        <f t="shared" si="1"/>
        <v>73.487333333333325</v>
      </c>
      <c r="G25" s="18">
        <f t="shared" si="2"/>
        <v>0.81652592592592588</v>
      </c>
      <c r="H25" s="108">
        <f t="shared" si="3"/>
        <v>2.3121401339259255E-5</v>
      </c>
      <c r="I25" s="109">
        <f t="shared" si="4"/>
        <v>1.1560700669629628E-6</v>
      </c>
      <c r="J25" s="188">
        <v>1.3100000000000001E-4</v>
      </c>
      <c r="K25" s="56"/>
      <c r="L25" s="188">
        <v>9.1199999999999994E-5</v>
      </c>
      <c r="M25" s="56"/>
      <c r="N25" s="25"/>
      <c r="O25" s="29" t="s">
        <v>5</v>
      </c>
      <c r="P25" s="30">
        <v>16.5</v>
      </c>
      <c r="Q25" s="12">
        <f t="shared" si="5"/>
        <v>13.361333333333333</v>
      </c>
      <c r="R25" s="13">
        <f t="shared" si="6"/>
        <v>0.14845925925925926</v>
      </c>
      <c r="S25" s="116">
        <f t="shared" si="7"/>
        <v>4.2038911525925925E-6</v>
      </c>
      <c r="T25" s="117">
        <f t="shared" si="8"/>
        <v>2.1019455762962962E-7</v>
      </c>
      <c r="U25" s="196">
        <v>1.3300000000000001E-4</v>
      </c>
      <c r="V25" s="58"/>
      <c r="W25" s="196">
        <v>1.5200000000000001E-4</v>
      </c>
      <c r="X25" s="58"/>
      <c r="Y25" s="25"/>
      <c r="Z25" s="38" t="s">
        <v>5</v>
      </c>
      <c r="AA25" s="39">
        <f t="shared" si="9"/>
        <v>30</v>
      </c>
      <c r="AB25" s="8">
        <f t="shared" si="10"/>
        <v>7.3487333333333327</v>
      </c>
      <c r="AC25" s="9">
        <f t="shared" si="11"/>
        <v>8.1652592592592582E-2</v>
      </c>
      <c r="AD25" s="122">
        <f t="shared" si="12"/>
        <v>2.3121401339259257E-6</v>
      </c>
      <c r="AE25" s="112">
        <f t="shared" si="13"/>
        <v>1.1560700669629629E-7</v>
      </c>
      <c r="AF25" s="192">
        <v>5.6800000000000004E-4</v>
      </c>
      <c r="AG25" s="22"/>
      <c r="AH25" s="192">
        <v>9.1200000000000005E-4</v>
      </c>
      <c r="AI25" s="21"/>
    </row>
    <row r="26" spans="1:35" ht="30" x14ac:dyDescent="0.25">
      <c r="A26" s="257" t="s">
        <v>193</v>
      </c>
      <c r="B26" s="65">
        <v>3</v>
      </c>
      <c r="C26" s="65">
        <v>0.1</v>
      </c>
      <c r="D26" s="65">
        <v>0.1</v>
      </c>
      <c r="E26" s="145">
        <f t="shared" si="0"/>
        <v>100000</v>
      </c>
      <c r="F26" s="17">
        <f t="shared" si="1"/>
        <v>73.487333333333325</v>
      </c>
      <c r="G26" s="18">
        <f t="shared" si="2"/>
        <v>0.81652592592592588</v>
      </c>
      <c r="H26" s="108">
        <f t="shared" si="3"/>
        <v>2.3121401339259255E-5</v>
      </c>
      <c r="I26" s="109">
        <f t="shared" si="4"/>
        <v>1.1560700669629628E-6</v>
      </c>
      <c r="J26" s="188">
        <v>4.5699999999999998E-7</v>
      </c>
      <c r="K26" s="56"/>
      <c r="L26" s="188">
        <v>2.4299999999999999E-7</v>
      </c>
      <c r="M26" s="56"/>
      <c r="N26" s="25"/>
      <c r="O26" s="29" t="s">
        <v>6</v>
      </c>
      <c r="P26" s="30">
        <v>16.5</v>
      </c>
      <c r="Q26" s="12">
        <f t="shared" si="5"/>
        <v>13.361333333333333</v>
      </c>
      <c r="R26" s="13">
        <f t="shared" si="6"/>
        <v>0.14845925925925926</v>
      </c>
      <c r="S26" s="116">
        <f t="shared" si="7"/>
        <v>4.2038911525925925E-6</v>
      </c>
      <c r="T26" s="117">
        <f t="shared" si="8"/>
        <v>2.1019455762962962E-7</v>
      </c>
      <c r="U26" s="196">
        <v>4.6499999999999999E-7</v>
      </c>
      <c r="V26" s="58"/>
      <c r="W26" s="196">
        <v>4.0600000000000001E-7</v>
      </c>
      <c r="X26" s="58"/>
      <c r="Y26" s="25"/>
      <c r="Z26" s="38" t="s">
        <v>6</v>
      </c>
      <c r="AA26" s="177">
        <v>30</v>
      </c>
      <c r="AB26" s="8">
        <f t="shared" si="10"/>
        <v>7.3487333333333327</v>
      </c>
      <c r="AC26" s="9">
        <f t="shared" si="11"/>
        <v>8.1652592592592582E-2</v>
      </c>
      <c r="AD26" s="122">
        <f t="shared" si="12"/>
        <v>2.3121401339259257E-6</v>
      </c>
      <c r="AE26" s="112">
        <f t="shared" si="13"/>
        <v>1.1560700669629629E-7</v>
      </c>
      <c r="AF26" s="192">
        <v>1.59E-6</v>
      </c>
      <c r="AG26" s="22"/>
      <c r="AH26" s="192">
        <v>1.95E-6</v>
      </c>
      <c r="AI26" s="21"/>
    </row>
    <row r="27" spans="1:35" x14ac:dyDescent="0.25">
      <c r="A27" s="258" t="s">
        <v>207</v>
      </c>
      <c r="B27" s="65">
        <v>3</v>
      </c>
      <c r="C27" s="65">
        <v>0.1</v>
      </c>
      <c r="D27" s="168">
        <v>35</v>
      </c>
      <c r="E27" s="145">
        <f t="shared" si="0"/>
        <v>35000000</v>
      </c>
      <c r="F27" s="45">
        <f t="shared" si="1"/>
        <v>25720.566666666662</v>
      </c>
      <c r="G27" s="46">
        <f t="shared" si="2"/>
        <v>285.784074074074</v>
      </c>
      <c r="H27" s="108">
        <f t="shared" si="3"/>
        <v>8.092490468740738E-3</v>
      </c>
      <c r="I27" s="109">
        <f t="shared" si="4"/>
        <v>4.046245234370369E-4</v>
      </c>
      <c r="J27" s="188">
        <v>0.252</v>
      </c>
      <c r="K27" s="60"/>
      <c r="L27" s="188">
        <v>5.6800000000000004E-4</v>
      </c>
      <c r="M27" s="60"/>
      <c r="N27" s="25"/>
      <c r="O27" s="29" t="s">
        <v>7</v>
      </c>
      <c r="P27" s="30">
        <v>4.6500000000000004</v>
      </c>
      <c r="Q27" s="43">
        <f t="shared" si="5"/>
        <v>16593.91397849462</v>
      </c>
      <c r="R27" s="44">
        <f t="shared" si="6"/>
        <v>184.37682198327354</v>
      </c>
      <c r="S27" s="116">
        <f t="shared" si="7"/>
        <v>5.2209615927359598E-3</v>
      </c>
      <c r="T27" s="117">
        <f t="shared" si="8"/>
        <v>2.6104807963679797E-4</v>
      </c>
      <c r="U27" s="196">
        <v>0.214</v>
      </c>
      <c r="V27" s="61"/>
      <c r="W27" s="196">
        <v>4.6900000000000002E-4</v>
      </c>
      <c r="X27" s="61"/>
      <c r="Y27" s="25"/>
      <c r="Z27" s="38" t="s">
        <v>7</v>
      </c>
      <c r="AA27" s="177">
        <v>6.6</v>
      </c>
      <c r="AB27" s="42">
        <f t="shared" si="10"/>
        <v>11691.166666666668</v>
      </c>
      <c r="AC27" s="49">
        <f t="shared" si="11"/>
        <v>129.90185185185186</v>
      </c>
      <c r="AD27" s="122">
        <f t="shared" si="12"/>
        <v>3.6784047585185185E-3</v>
      </c>
      <c r="AE27" s="112">
        <f t="shared" si="13"/>
        <v>1.8392023792592594E-4</v>
      </c>
      <c r="AF27" s="192">
        <v>0.11</v>
      </c>
      <c r="AG27" s="64"/>
      <c r="AH27" s="192">
        <v>2.12E-4</v>
      </c>
      <c r="AI27" s="175"/>
    </row>
    <row r="28" spans="1:35" ht="53.25" customHeight="1" thickBot="1" x14ac:dyDescent="0.3">
      <c r="A28" s="258" t="s">
        <v>266</v>
      </c>
      <c r="B28" s="242">
        <v>1.6</v>
      </c>
      <c r="C28" s="239"/>
      <c r="D28" s="243">
        <v>18</v>
      </c>
      <c r="E28" s="147">
        <f t="shared" ref="E28:E30" si="14">(D28)*1000000</f>
        <v>18000000</v>
      </c>
      <c r="F28" s="45">
        <f t="shared" ref="F28" si="15">(((E28)/(B28))/1000)*2.20462</f>
        <v>24801.974999999999</v>
      </c>
      <c r="G28" s="46">
        <f t="shared" ref="G28" si="16">(F28)/90</f>
        <v>275.57749999999999</v>
      </c>
      <c r="H28" s="108">
        <f t="shared" ref="H28" si="17">((G28)*0.0283168)/1000</f>
        <v>7.8034729520000002E-3</v>
      </c>
      <c r="I28" s="109">
        <f t="shared" ref="I28" si="18">((G28)*0.0283168)/20000</f>
        <v>3.901736476E-4</v>
      </c>
      <c r="J28" s="188"/>
      <c r="K28" s="60"/>
      <c r="L28" s="188"/>
      <c r="M28" s="60"/>
      <c r="N28" s="25"/>
      <c r="O28" s="29" t="s">
        <v>82</v>
      </c>
      <c r="P28" s="190">
        <v>4</v>
      </c>
      <c r="Q28" s="43">
        <f t="shared" si="5"/>
        <v>9920.7899999999991</v>
      </c>
      <c r="R28" s="44">
        <f t="shared" si="6"/>
        <v>110.23099999999999</v>
      </c>
      <c r="S28" s="116">
        <f t="shared" si="7"/>
        <v>3.1213891807999996E-3</v>
      </c>
      <c r="T28" s="117">
        <f t="shared" si="8"/>
        <v>1.5606945903999997E-4</v>
      </c>
      <c r="U28" s="196"/>
      <c r="V28" s="61"/>
      <c r="W28" s="196"/>
      <c r="X28" s="61"/>
      <c r="Y28" s="25"/>
      <c r="Z28" s="187" t="s">
        <v>82</v>
      </c>
      <c r="AA28" s="186">
        <v>6</v>
      </c>
      <c r="AB28" s="42">
        <f t="shared" ref="AB28" si="19">(((E28)/(AA28))/1000)*2.20462</f>
        <v>6613.86</v>
      </c>
      <c r="AC28" s="49">
        <f t="shared" ref="AC28" si="20">(AB28)/90</f>
        <v>73.487333333333325</v>
      </c>
      <c r="AD28" s="122">
        <f t="shared" ref="AD28" si="21">((AC28)*0.0283168)/1000</f>
        <v>2.0809261205333328E-3</v>
      </c>
      <c r="AE28" s="112">
        <f t="shared" ref="AE28" si="22">((AC28)*0.0283168)/20000</f>
        <v>1.0404630602666664E-4</v>
      </c>
      <c r="AF28" s="192"/>
      <c r="AG28" s="64"/>
      <c r="AH28" s="192"/>
      <c r="AI28" s="175"/>
    </row>
    <row r="29" spans="1:35" x14ac:dyDescent="0.25">
      <c r="A29" s="414" t="s">
        <v>8</v>
      </c>
      <c r="B29" s="415"/>
      <c r="C29" s="415"/>
      <c r="D29" s="415"/>
      <c r="E29" s="238"/>
      <c r="F29" s="45"/>
      <c r="G29" s="46"/>
      <c r="H29" s="108"/>
      <c r="I29" s="109"/>
      <c r="J29" s="188"/>
      <c r="K29" s="56"/>
      <c r="L29" s="188"/>
      <c r="M29" s="56"/>
      <c r="N29" s="25"/>
      <c r="O29" s="416" t="s">
        <v>8</v>
      </c>
      <c r="P29" s="417"/>
      <c r="Q29" s="43"/>
      <c r="R29" s="44"/>
      <c r="S29" s="116"/>
      <c r="T29" s="117"/>
      <c r="U29" s="196"/>
      <c r="V29" s="58"/>
      <c r="W29" s="196"/>
      <c r="X29" s="58"/>
      <c r="Y29" s="25"/>
      <c r="Z29" s="421" t="s">
        <v>8</v>
      </c>
      <c r="AA29" s="422"/>
      <c r="AB29" s="42"/>
      <c r="AC29" s="9"/>
      <c r="AD29" s="122"/>
      <c r="AE29" s="112"/>
      <c r="AF29" s="191"/>
      <c r="AG29" s="22"/>
      <c r="AH29" s="192"/>
      <c r="AI29" s="21"/>
    </row>
    <row r="30" spans="1:35" ht="51" customHeight="1" x14ac:dyDescent="0.25">
      <c r="A30" s="259" t="s">
        <v>262</v>
      </c>
      <c r="B30" s="186">
        <v>3</v>
      </c>
      <c r="C30" s="199"/>
      <c r="D30" s="201">
        <v>35</v>
      </c>
      <c r="E30" s="145">
        <f t="shared" si="14"/>
        <v>35000000</v>
      </c>
      <c r="F30" s="45">
        <f t="shared" ref="F30" si="23">(((E30)/(B30))/1000)*2.20462</f>
        <v>25720.566666666662</v>
      </c>
      <c r="G30" s="46">
        <f t="shared" ref="G30" si="24">(F30)/90</f>
        <v>285.784074074074</v>
      </c>
      <c r="H30" s="108">
        <f t="shared" ref="H30" si="25">((G30)*0.0283168)/1000</f>
        <v>8.092490468740738E-3</v>
      </c>
      <c r="I30" s="109">
        <f t="shared" ref="I30" si="26">((G30)*0.0283168)/20000</f>
        <v>4.046245234370369E-4</v>
      </c>
      <c r="J30" s="60">
        <v>6.9470000000000001</v>
      </c>
      <c r="K30" s="56">
        <v>0</v>
      </c>
      <c r="L30" s="188"/>
      <c r="M30" s="56"/>
      <c r="N30" s="25"/>
      <c r="O30" s="206" t="s">
        <v>114</v>
      </c>
      <c r="P30" s="208">
        <v>12.5</v>
      </c>
      <c r="Q30" s="43">
        <f t="shared" ref="Q30" si="27">(((E30)/(P30))/1000)*2.20462</f>
        <v>6172.9359999999997</v>
      </c>
      <c r="R30" s="44">
        <f t="shared" ref="R30" si="28">(Q30)/90</f>
        <v>68.588177777777773</v>
      </c>
      <c r="S30" s="116">
        <f t="shared" ref="S30" si="29">((R30)*0.0283168)/1000</f>
        <v>1.9421977124977777E-3</v>
      </c>
      <c r="T30" s="117">
        <f t="shared" ref="T30" si="30">((R30)*0.0283168)/20000</f>
        <v>9.7109885624888876E-5</v>
      </c>
      <c r="U30" s="61">
        <v>3.97</v>
      </c>
      <c r="V30" s="58">
        <v>0</v>
      </c>
      <c r="W30" s="196"/>
      <c r="X30" s="58"/>
      <c r="Y30" s="25"/>
      <c r="Z30" s="207" t="s">
        <v>271</v>
      </c>
      <c r="AA30" s="208">
        <v>22</v>
      </c>
      <c r="AB30" s="42">
        <f t="shared" ref="AB30" si="31">(((E30)/(AA30))/1000)*2.20462</f>
        <v>3507.3499999999995</v>
      </c>
      <c r="AC30" s="49">
        <f t="shared" ref="AC30" si="32">(AB30)/90</f>
        <v>38.970555555555549</v>
      </c>
      <c r="AD30" s="122">
        <f t="shared" ref="AD30" si="33">((AC30)*0.0283168)/1000</f>
        <v>1.1035214275555553E-3</v>
      </c>
      <c r="AE30" s="112">
        <f t="shared" ref="AE30" si="34">((AC30)*0.0283168)/20000</f>
        <v>5.5176071377777768E-5</v>
      </c>
      <c r="AF30" s="64">
        <v>0.70269999999999999</v>
      </c>
      <c r="AG30" s="22">
        <v>0</v>
      </c>
      <c r="AH30" s="192"/>
      <c r="AI30" s="21"/>
    </row>
    <row r="31" spans="1:35" x14ac:dyDescent="0.25">
      <c r="A31" s="260" t="s">
        <v>261</v>
      </c>
      <c r="B31" s="65">
        <v>30</v>
      </c>
      <c r="C31" s="65">
        <v>1</v>
      </c>
      <c r="D31" s="202">
        <v>100</v>
      </c>
      <c r="E31" s="145">
        <f>(D31)*1000000</f>
        <v>100000000</v>
      </c>
      <c r="F31" s="45">
        <f t="shared" si="1"/>
        <v>7348.7333333333327</v>
      </c>
      <c r="G31" s="46">
        <f t="shared" si="2"/>
        <v>81.652592592592583</v>
      </c>
      <c r="H31" s="108">
        <f t="shared" si="3"/>
        <v>2.3121401339259258E-3</v>
      </c>
      <c r="I31" s="109">
        <f t="shared" si="4"/>
        <v>1.1560700669629629E-4</v>
      </c>
      <c r="J31" s="188">
        <v>3.6999999999999998E-2</v>
      </c>
      <c r="K31" s="60"/>
      <c r="L31" s="188">
        <v>1.8E-3</v>
      </c>
      <c r="M31" s="60"/>
      <c r="N31" s="25"/>
      <c r="O31" s="29" t="s">
        <v>9</v>
      </c>
      <c r="P31" s="30">
        <v>97.5</v>
      </c>
      <c r="Q31" s="43">
        <f t="shared" si="5"/>
        <v>2261.1487179487176</v>
      </c>
      <c r="R31" s="44">
        <f t="shared" si="6"/>
        <v>25.12387464387464</v>
      </c>
      <c r="S31" s="116">
        <f t="shared" si="7"/>
        <v>7.1142773351566936E-4</v>
      </c>
      <c r="T31" s="117">
        <f t="shared" si="8"/>
        <v>3.557138667578347E-5</v>
      </c>
      <c r="U31" s="196">
        <v>2.7799999999999998E-2</v>
      </c>
      <c r="V31" s="61"/>
      <c r="W31" s="196">
        <v>1.7899999999999999E-3</v>
      </c>
      <c r="X31" s="61"/>
      <c r="Y31" s="25"/>
      <c r="Z31" s="38" t="s">
        <v>9</v>
      </c>
      <c r="AA31" s="177">
        <v>165</v>
      </c>
      <c r="AB31" s="42">
        <f t="shared" si="10"/>
        <v>1336.1333333333334</v>
      </c>
      <c r="AC31" s="9">
        <f t="shared" si="11"/>
        <v>14.845925925925927</v>
      </c>
      <c r="AD31" s="122">
        <f t="shared" si="12"/>
        <v>4.2038911525925929E-4</v>
      </c>
      <c r="AE31" s="112">
        <f t="shared" si="13"/>
        <v>2.1019455762962967E-5</v>
      </c>
      <c r="AF31" s="192">
        <v>2.7799999999999998E-2</v>
      </c>
      <c r="AG31" s="64"/>
      <c r="AH31" s="192">
        <v>1.81E-3</v>
      </c>
      <c r="AI31" s="175"/>
    </row>
    <row r="32" spans="1:35" x14ac:dyDescent="0.25">
      <c r="A32" s="260" t="s">
        <v>191</v>
      </c>
      <c r="B32" s="65">
        <v>30</v>
      </c>
      <c r="C32" s="65">
        <v>1</v>
      </c>
      <c r="D32" s="65">
        <v>0.1</v>
      </c>
      <c r="E32" s="145">
        <f>(D32)*1000000</f>
        <v>100000</v>
      </c>
      <c r="F32" s="17">
        <f t="shared" si="1"/>
        <v>7.3487333333333327</v>
      </c>
      <c r="G32" s="18">
        <f t="shared" si="2"/>
        <v>8.1652592592592582E-2</v>
      </c>
      <c r="H32" s="108">
        <f t="shared" si="3"/>
        <v>2.3121401339259257E-6</v>
      </c>
      <c r="I32" s="109">
        <f t="shared" si="4"/>
        <v>1.1560700669629629E-7</v>
      </c>
      <c r="J32" s="188">
        <v>5.3200000000000003E-4</v>
      </c>
      <c r="K32" s="56"/>
      <c r="L32" s="188">
        <v>6.8999999999999997E-4</v>
      </c>
      <c r="M32" s="56"/>
      <c r="N32" s="25"/>
      <c r="O32" s="29" t="s">
        <v>10</v>
      </c>
      <c r="P32" s="30">
        <v>147.5</v>
      </c>
      <c r="Q32" s="12">
        <f t="shared" si="5"/>
        <v>1.4946576271186438</v>
      </c>
      <c r="R32" s="13">
        <f t="shared" si="6"/>
        <v>1.6607306967984931E-2</v>
      </c>
      <c r="S32" s="116">
        <f t="shared" si="7"/>
        <v>4.7026578995103569E-7</v>
      </c>
      <c r="T32" s="117">
        <f t="shared" si="8"/>
        <v>2.3513289497551782E-8</v>
      </c>
      <c r="U32" s="196">
        <v>8.8800000000000001E-4</v>
      </c>
      <c r="V32" s="58"/>
      <c r="W32" s="196">
        <v>1.15E-3</v>
      </c>
      <c r="X32" s="58"/>
      <c r="Y32" s="25"/>
      <c r="Z32" s="38" t="s">
        <v>10</v>
      </c>
      <c r="AA32" s="177">
        <v>265</v>
      </c>
      <c r="AB32" s="8">
        <f t="shared" si="10"/>
        <v>0.83193207547169812</v>
      </c>
      <c r="AC32" s="9">
        <f t="shared" si="11"/>
        <v>9.2436897274633129E-3</v>
      </c>
      <c r="AD32" s="122">
        <f t="shared" si="12"/>
        <v>2.6175171327463317E-7</v>
      </c>
      <c r="AE32" s="112">
        <f t="shared" si="13"/>
        <v>1.3087585663731659E-8</v>
      </c>
      <c r="AF32" s="192">
        <v>2.82E-3</v>
      </c>
      <c r="AG32" s="64"/>
      <c r="AH32" s="192">
        <v>3.6600000000000001E-3</v>
      </c>
      <c r="AI32" s="175"/>
    </row>
    <row r="33" spans="1:35" ht="15.75" thickBot="1" x14ac:dyDescent="0.3">
      <c r="A33" s="261" t="s">
        <v>192</v>
      </c>
      <c r="B33" s="239">
        <v>30</v>
      </c>
      <c r="C33" s="239">
        <v>1</v>
      </c>
      <c r="D33" s="239">
        <v>0.1</v>
      </c>
      <c r="E33" s="147">
        <f>(D33)*1000000</f>
        <v>100000</v>
      </c>
      <c r="F33" s="17">
        <f t="shared" si="1"/>
        <v>7.3487333333333327</v>
      </c>
      <c r="G33" s="18">
        <f t="shared" si="2"/>
        <v>8.1652592592592582E-2</v>
      </c>
      <c r="H33" s="108">
        <f t="shared" si="3"/>
        <v>2.3121401339259257E-6</v>
      </c>
      <c r="I33" s="109">
        <f t="shared" si="4"/>
        <v>1.1560700669629629E-7</v>
      </c>
      <c r="J33" s="188">
        <v>1.2899999999999999E-4</v>
      </c>
      <c r="K33" s="56"/>
      <c r="L33" s="188">
        <v>1.66E-4</v>
      </c>
      <c r="M33" s="56"/>
      <c r="N33" s="25"/>
      <c r="O33" s="29" t="s">
        <v>11</v>
      </c>
      <c r="P33" s="30">
        <v>147.5</v>
      </c>
      <c r="Q33" s="12">
        <f t="shared" si="5"/>
        <v>1.4946576271186438</v>
      </c>
      <c r="R33" s="13">
        <f t="shared" si="6"/>
        <v>1.6607306967984931E-2</v>
      </c>
      <c r="S33" s="116">
        <f t="shared" si="7"/>
        <v>4.7026578995103569E-7</v>
      </c>
      <c r="T33" s="117">
        <f t="shared" si="8"/>
        <v>2.3513289497551782E-8</v>
      </c>
      <c r="U33" s="196">
        <v>2.1499999999999999E-4</v>
      </c>
      <c r="V33" s="58"/>
      <c r="W33" s="196">
        <v>2.7799999999999998E-4</v>
      </c>
      <c r="X33" s="58"/>
      <c r="Y33" s="25"/>
      <c r="Z33" s="38" t="s">
        <v>11</v>
      </c>
      <c r="AA33" s="177">
        <v>265</v>
      </c>
      <c r="AB33" s="8">
        <f t="shared" si="10"/>
        <v>0.83193207547169812</v>
      </c>
      <c r="AC33" s="9">
        <f t="shared" si="11"/>
        <v>9.2436897274633129E-3</v>
      </c>
      <c r="AD33" s="122">
        <f t="shared" si="12"/>
        <v>2.6175171327463317E-7</v>
      </c>
      <c r="AE33" s="112">
        <f t="shared" si="13"/>
        <v>1.3087585663731659E-8</v>
      </c>
      <c r="AF33" s="192">
        <v>6.8199999999999999E-4</v>
      </c>
      <c r="AG33" s="64"/>
      <c r="AH33" s="192">
        <v>8.8099999999999995E-4</v>
      </c>
      <c r="AI33" s="175"/>
    </row>
    <row r="34" spans="1:35" x14ac:dyDescent="0.25">
      <c r="A34" s="423" t="s">
        <v>12</v>
      </c>
      <c r="B34" s="424"/>
      <c r="C34" s="424"/>
      <c r="D34" s="424"/>
      <c r="E34" s="146"/>
      <c r="F34" s="17"/>
      <c r="G34" s="18"/>
      <c r="H34" s="108"/>
      <c r="I34" s="109"/>
      <c r="J34" s="188"/>
      <c r="K34" s="56"/>
      <c r="L34" s="188"/>
      <c r="M34" s="56"/>
      <c r="N34" s="25"/>
      <c r="O34" s="416" t="s">
        <v>12</v>
      </c>
      <c r="P34" s="417"/>
      <c r="Q34" s="12"/>
      <c r="R34" s="13"/>
      <c r="S34" s="116"/>
      <c r="T34" s="117"/>
      <c r="U34" s="196"/>
      <c r="V34" s="58"/>
      <c r="W34" s="196"/>
      <c r="X34" s="58"/>
      <c r="Y34" s="25"/>
      <c r="Z34" s="421" t="s">
        <v>12</v>
      </c>
      <c r="AA34" s="422"/>
      <c r="AB34" s="8"/>
      <c r="AC34" s="9"/>
      <c r="AD34" s="122"/>
      <c r="AE34" s="112"/>
      <c r="AF34" s="191"/>
      <c r="AG34" s="22"/>
      <c r="AH34" s="192"/>
      <c r="AI34" s="21"/>
    </row>
    <row r="35" spans="1:35" ht="15.75" thickBot="1" x14ac:dyDescent="0.3">
      <c r="A35" s="262" t="s">
        <v>83</v>
      </c>
      <c r="B35" s="163">
        <v>13</v>
      </c>
      <c r="C35" s="74">
        <v>30</v>
      </c>
      <c r="D35" s="203">
        <v>144</v>
      </c>
      <c r="E35" s="147">
        <f>(D35)*1000000</f>
        <v>144000000</v>
      </c>
      <c r="F35" s="47">
        <f t="shared" si="1"/>
        <v>24420.40615384615</v>
      </c>
      <c r="G35" s="19">
        <f t="shared" si="2"/>
        <v>271.3378461538461</v>
      </c>
      <c r="H35" s="110">
        <f t="shared" si="3"/>
        <v>7.6834195219692295E-3</v>
      </c>
      <c r="I35" s="111">
        <f t="shared" si="4"/>
        <v>3.8417097609846147E-4</v>
      </c>
      <c r="J35" s="189">
        <v>0.03</v>
      </c>
      <c r="K35" s="66"/>
      <c r="L35" s="189">
        <v>5.13E-3</v>
      </c>
      <c r="M35" s="57"/>
      <c r="N35" s="26"/>
      <c r="O35" s="31" t="s">
        <v>13</v>
      </c>
      <c r="P35" s="32">
        <v>1365</v>
      </c>
      <c r="Q35" s="48">
        <f t="shared" si="5"/>
        <v>232.57529670329671</v>
      </c>
      <c r="R35" s="14">
        <f t="shared" si="6"/>
        <v>2.5841699633699635</v>
      </c>
      <c r="S35" s="118">
        <f t="shared" si="7"/>
        <v>7.3175424018754587E-5</v>
      </c>
      <c r="T35" s="119">
        <f t="shared" si="8"/>
        <v>3.6587712009377292E-6</v>
      </c>
      <c r="U35" s="197">
        <v>0.03</v>
      </c>
      <c r="V35" s="67"/>
      <c r="W35" s="197">
        <v>8.5599999999999999E-3</v>
      </c>
      <c r="X35" s="59"/>
      <c r="Y35" s="26"/>
      <c r="Z35" s="40" t="s">
        <v>13</v>
      </c>
      <c r="AA35" s="41">
        <v>2700</v>
      </c>
      <c r="AB35" s="50">
        <f t="shared" si="10"/>
        <v>117.57973333333332</v>
      </c>
      <c r="AC35" s="10">
        <f t="shared" si="11"/>
        <v>1.3064414814814813</v>
      </c>
      <c r="AD35" s="123">
        <f t="shared" si="12"/>
        <v>3.6994242142814811E-5</v>
      </c>
      <c r="AE35" s="113">
        <f t="shared" si="13"/>
        <v>1.8497121071407407E-6</v>
      </c>
      <c r="AF35" s="193">
        <v>0.03</v>
      </c>
      <c r="AG35" s="169"/>
      <c r="AH35" s="194">
        <v>5.1299999999999998E-2</v>
      </c>
      <c r="AI35" s="176"/>
    </row>
    <row r="37" spans="1:35" x14ac:dyDescent="0.25">
      <c r="A37" t="s">
        <v>113</v>
      </c>
    </row>
    <row r="38" spans="1:35" x14ac:dyDescent="0.25">
      <c r="A38" t="s">
        <v>111</v>
      </c>
      <c r="F38" s="198"/>
      <c r="G38" s="198"/>
      <c r="H38" s="198"/>
      <c r="I38" s="198"/>
      <c r="J38" s="198"/>
      <c r="K38" s="198"/>
      <c r="L38" s="198"/>
      <c r="M38" s="198"/>
      <c r="N38" s="198"/>
      <c r="O38" s="198"/>
      <c r="P38" s="198"/>
      <c r="Q38" s="198"/>
      <c r="R38" s="198"/>
      <c r="S38" s="198"/>
      <c r="T38" s="198"/>
      <c r="U38" s="198"/>
      <c r="V38" s="198"/>
      <c r="W38" s="198"/>
      <c r="X38" s="158"/>
    </row>
    <row r="39" spans="1:35" x14ac:dyDescent="0.25">
      <c r="A39" s="164"/>
      <c r="F39" s="413"/>
      <c r="G39" s="413"/>
      <c r="H39" s="413"/>
      <c r="I39" s="413"/>
      <c r="J39" s="413"/>
      <c r="K39" s="413"/>
      <c r="L39" s="413"/>
      <c r="M39" s="413"/>
      <c r="N39" s="413"/>
      <c r="O39" s="413"/>
      <c r="P39" s="413"/>
      <c r="Q39" s="413"/>
      <c r="R39" s="413"/>
      <c r="S39" s="413"/>
      <c r="T39" s="413"/>
      <c r="U39" s="413"/>
      <c r="V39" s="413"/>
      <c r="W39" s="413"/>
      <c r="X39" s="158"/>
    </row>
    <row r="40" spans="1:35" ht="33" customHeight="1" x14ac:dyDescent="0.25">
      <c r="A40" s="435" t="s">
        <v>107</v>
      </c>
      <c r="B40" s="435"/>
      <c r="C40" s="435"/>
      <c r="D40" s="435"/>
      <c r="E40" s="435"/>
      <c r="F40" s="435"/>
      <c r="G40" s="435"/>
      <c r="H40" s="435"/>
      <c r="I40" s="435"/>
      <c r="J40" s="435"/>
      <c r="K40" s="435"/>
      <c r="L40" s="435"/>
      <c r="M40" s="435"/>
      <c r="N40" s="435"/>
      <c r="O40" s="435"/>
      <c r="P40" s="435"/>
    </row>
    <row r="41" spans="1:35" x14ac:dyDescent="0.25">
      <c r="A41" s="413" t="s">
        <v>106</v>
      </c>
      <c r="B41" s="413"/>
      <c r="C41" s="413"/>
      <c r="D41" s="413"/>
      <c r="E41" s="413"/>
      <c r="F41" s="413"/>
      <c r="G41" s="413"/>
      <c r="H41" s="413"/>
      <c r="I41" s="413"/>
      <c r="J41" s="413"/>
      <c r="K41" s="413"/>
      <c r="L41" s="413"/>
      <c r="M41" s="413"/>
      <c r="N41" s="413"/>
      <c r="O41" s="413"/>
      <c r="P41" s="413"/>
    </row>
    <row r="42" spans="1:35" x14ac:dyDescent="0.25">
      <c r="A42" s="413" t="s">
        <v>105</v>
      </c>
      <c r="B42" s="413"/>
      <c r="C42" s="413"/>
      <c r="D42" s="413"/>
      <c r="E42" s="413"/>
      <c r="F42" s="413"/>
      <c r="G42" s="413"/>
      <c r="H42" s="413"/>
      <c r="I42" s="413"/>
      <c r="J42" s="413"/>
      <c r="K42" s="413"/>
      <c r="L42" s="413"/>
      <c r="M42" s="413"/>
      <c r="N42" s="413"/>
      <c r="O42" s="413"/>
      <c r="P42" s="413"/>
    </row>
    <row r="43" spans="1:35" x14ac:dyDescent="0.25">
      <c r="A43" s="413" t="s">
        <v>104</v>
      </c>
      <c r="B43" s="413"/>
      <c r="C43" s="413"/>
      <c r="D43" s="413"/>
      <c r="E43" s="413"/>
      <c r="F43" s="413"/>
      <c r="G43" s="413"/>
      <c r="H43" s="413"/>
      <c r="I43" s="413"/>
      <c r="J43" s="413"/>
      <c r="K43" s="413"/>
      <c r="L43" s="413"/>
      <c r="M43" s="413"/>
      <c r="N43" s="413"/>
      <c r="O43" s="413"/>
      <c r="P43" s="413"/>
    </row>
    <row r="46" spans="1:35" x14ac:dyDescent="0.25">
      <c r="B46" s="209"/>
    </row>
    <row r="47" spans="1:35" x14ac:dyDescent="0.25">
      <c r="B47" s="209"/>
    </row>
    <row r="48" spans="1:35" x14ac:dyDescent="0.25">
      <c r="B48" s="209"/>
    </row>
    <row r="49" spans="2:2" x14ac:dyDescent="0.25">
      <c r="B49" s="209"/>
    </row>
    <row r="50" spans="2:2" x14ac:dyDescent="0.25">
      <c r="B50" s="209"/>
    </row>
    <row r="51" spans="2:2" x14ac:dyDescent="0.25">
      <c r="B51" s="209"/>
    </row>
    <row r="52" spans="2:2" x14ac:dyDescent="0.25">
      <c r="B52" s="209"/>
    </row>
  </sheetData>
  <mergeCells count="30">
    <mergeCell ref="A40:P40"/>
    <mergeCell ref="A41:P41"/>
    <mergeCell ref="A42:P42"/>
    <mergeCell ref="A43:P43"/>
    <mergeCell ref="A1:Q1"/>
    <mergeCell ref="B3:T3"/>
    <mergeCell ref="B4:T4"/>
    <mergeCell ref="A18:AH18"/>
    <mergeCell ref="B6:T6"/>
    <mergeCell ref="B7:T7"/>
    <mergeCell ref="B8:T8"/>
    <mergeCell ref="B9:T9"/>
    <mergeCell ref="B10:T10"/>
    <mergeCell ref="B12:T12"/>
    <mergeCell ref="B13:T13"/>
    <mergeCell ref="B14:T14"/>
    <mergeCell ref="F39:W39"/>
    <mergeCell ref="A29:D29"/>
    <mergeCell ref="O29:P29"/>
    <mergeCell ref="B16:T16"/>
    <mergeCell ref="Z29:AA29"/>
    <mergeCell ref="A34:D34"/>
    <mergeCell ref="O34:P34"/>
    <mergeCell ref="Z34:AA34"/>
    <mergeCell ref="F19:L19"/>
    <mergeCell ref="O19:W19"/>
    <mergeCell ref="Z19:AH19"/>
    <mergeCell ref="A20:D20"/>
    <mergeCell ref="O20:P20"/>
    <mergeCell ref="Z20:AA20"/>
  </mergeCells>
  <pageMargins left="0.7" right="0.7" top="0.75" bottom="0.75" header="0.3" footer="0.3"/>
  <pageSetup paperSize="3" scale="82"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69"/>
  <sheetViews>
    <sheetView workbookViewId="0">
      <selection activeCell="E2" sqref="E2"/>
    </sheetView>
  </sheetViews>
  <sheetFormatPr defaultRowHeight="15" x14ac:dyDescent="0.25"/>
  <cols>
    <col min="1" max="1" width="15" bestFit="1" customWidth="1"/>
    <col min="2" max="2" width="13.85546875" customWidth="1"/>
    <col min="3" max="3" width="13.42578125" customWidth="1"/>
    <col min="4" max="4" width="11.140625" customWidth="1"/>
    <col min="5" max="5" width="10.5703125" customWidth="1"/>
    <col min="6" max="6" width="12.7109375" customWidth="1"/>
    <col min="7" max="7" width="12.28515625" customWidth="1"/>
    <col min="8" max="8" width="18.28515625" customWidth="1"/>
    <col min="9" max="9" width="15" bestFit="1" customWidth="1"/>
    <col min="10" max="10" width="17.7109375" bestFit="1" customWidth="1"/>
    <col min="11" max="11" width="11" customWidth="1"/>
    <col min="12" max="13" width="17.5703125" customWidth="1"/>
    <col min="14" max="14" width="19.85546875" customWidth="1"/>
    <col min="15" max="29" width="16.140625" customWidth="1"/>
    <col min="30" max="30" width="16.5703125" customWidth="1"/>
    <col min="31" max="31" width="14.140625" customWidth="1"/>
  </cols>
  <sheetData>
    <row r="2" spans="1:31" ht="15.75" thickBot="1" x14ac:dyDescent="0.3"/>
    <row r="3" spans="1:31" ht="15.75" thickBot="1" x14ac:dyDescent="0.3">
      <c r="A3" s="410"/>
      <c r="B3" s="411"/>
      <c r="C3" s="411"/>
      <c r="D3" s="411"/>
      <c r="E3" s="411"/>
      <c r="F3" s="411"/>
      <c r="G3" s="411"/>
      <c r="H3" s="411"/>
      <c r="I3" s="411"/>
      <c r="J3" s="411"/>
      <c r="K3" s="411"/>
      <c r="L3" s="411"/>
      <c r="M3" s="411"/>
      <c r="N3" s="412"/>
      <c r="O3" s="124"/>
      <c r="P3" s="124"/>
      <c r="Q3" s="124"/>
      <c r="R3" s="124"/>
      <c r="S3" s="124"/>
      <c r="T3" s="124"/>
      <c r="U3" s="124"/>
      <c r="V3" s="124"/>
      <c r="W3" s="124"/>
      <c r="X3" s="124"/>
      <c r="Y3" s="124"/>
      <c r="Z3" s="124"/>
      <c r="AA3" s="124"/>
      <c r="AB3" s="124"/>
      <c r="AC3" s="124"/>
      <c r="AD3" s="124"/>
    </row>
    <row r="4" spans="1:31" ht="15.75" customHeight="1" thickBot="1" x14ac:dyDescent="0.3">
      <c r="A4" s="35"/>
      <c r="B4" s="36"/>
      <c r="C4" s="36"/>
      <c r="D4" s="148"/>
      <c r="E4" s="37"/>
      <c r="F4" s="425" t="s">
        <v>115</v>
      </c>
      <c r="G4" s="426"/>
      <c r="H4" s="426"/>
      <c r="I4" s="426"/>
      <c r="J4" s="426"/>
      <c r="K4" s="426"/>
      <c r="L4" s="426"/>
      <c r="M4" s="426"/>
      <c r="N4" s="426"/>
      <c r="O4" s="426"/>
      <c r="P4" s="71"/>
      <c r="Q4" s="71"/>
      <c r="R4" s="71"/>
      <c r="S4" s="71"/>
      <c r="T4" s="71"/>
      <c r="U4" s="72"/>
      <c r="X4" s="33"/>
      <c r="Y4" s="33"/>
      <c r="Z4" s="33"/>
      <c r="AA4" s="33"/>
      <c r="AB4" s="33"/>
      <c r="AC4" s="33"/>
      <c r="AD4" s="33"/>
    </row>
    <row r="5" spans="1:31" ht="63" thickBot="1" x14ac:dyDescent="0.3">
      <c r="A5" s="352" t="s">
        <v>150</v>
      </c>
      <c r="B5" s="353" t="s">
        <v>224</v>
      </c>
      <c r="C5" s="353" t="s">
        <v>225</v>
      </c>
      <c r="D5" s="353" t="s">
        <v>226</v>
      </c>
      <c r="E5" s="16" t="s">
        <v>227</v>
      </c>
      <c r="F5" s="20" t="s">
        <v>16</v>
      </c>
      <c r="G5" s="68" t="s">
        <v>15</v>
      </c>
      <c r="H5" s="84" t="s">
        <v>33</v>
      </c>
      <c r="I5" s="84" t="s">
        <v>37</v>
      </c>
      <c r="J5" s="15" t="s">
        <v>34</v>
      </c>
      <c r="K5" s="86" t="s">
        <v>38</v>
      </c>
      <c r="L5" s="100" t="s">
        <v>35</v>
      </c>
      <c r="M5" s="84" t="s">
        <v>39</v>
      </c>
      <c r="N5" s="90" t="s">
        <v>36</v>
      </c>
      <c r="O5" s="86" t="s">
        <v>40</v>
      </c>
      <c r="P5" s="100" t="s">
        <v>41</v>
      </c>
      <c r="Q5" s="84" t="s">
        <v>42</v>
      </c>
      <c r="R5" s="15" t="s">
        <v>43</v>
      </c>
      <c r="S5" s="86" t="s">
        <v>44</v>
      </c>
      <c r="T5" s="84" t="s">
        <v>45</v>
      </c>
      <c r="U5" s="84" t="s">
        <v>46</v>
      </c>
      <c r="V5" s="90" t="s">
        <v>47</v>
      </c>
      <c r="W5" s="91" t="s">
        <v>48</v>
      </c>
      <c r="X5" s="84" t="s">
        <v>49</v>
      </c>
      <c r="Y5" s="84" t="s">
        <v>50</v>
      </c>
      <c r="Z5" s="90" t="s">
        <v>51</v>
      </c>
      <c r="AA5" s="91" t="s">
        <v>52</v>
      </c>
      <c r="AB5" s="84" t="s">
        <v>53</v>
      </c>
      <c r="AC5" s="84" t="s">
        <v>54</v>
      </c>
      <c r="AD5" s="33"/>
    </row>
    <row r="6" spans="1:31" x14ac:dyDescent="0.25">
      <c r="A6" s="2" t="s">
        <v>1</v>
      </c>
      <c r="B6" s="69">
        <v>3</v>
      </c>
      <c r="C6" s="69">
        <v>0.1</v>
      </c>
      <c r="D6" s="139">
        <v>10</v>
      </c>
      <c r="E6" s="138">
        <f t="shared" ref="E6:E18" si="0">(D6)*1000000</f>
        <v>10000000</v>
      </c>
      <c r="F6" s="17">
        <f>(((E6)/(B6))/1000)*2.20462</f>
        <v>7348.7333333333327</v>
      </c>
      <c r="G6" s="82">
        <f>(F6)/90</f>
        <v>81.652592592592583</v>
      </c>
      <c r="H6" s="94">
        <f>(($G6)*0.0283168)/500</f>
        <v>4.6242802678518515E-3</v>
      </c>
      <c r="I6" s="211"/>
      <c r="J6" s="97">
        <f>(($G6)*0.0283168)/250</f>
        <v>9.248560535703703E-3</v>
      </c>
      <c r="K6" s="212"/>
      <c r="L6" s="94">
        <f>(($G6)*0.0283168)/100</f>
        <v>2.3121401339259259E-2</v>
      </c>
      <c r="M6" s="213"/>
      <c r="N6" s="97">
        <f>(($G6)*0.0283168)/25</f>
        <v>9.2485605357037037E-2</v>
      </c>
      <c r="O6" s="214"/>
      <c r="P6" s="94">
        <f>(($G6)*0.0283168)/20</f>
        <v>0.11560700669629628</v>
      </c>
      <c r="Q6" s="215"/>
      <c r="R6" s="97">
        <f>(($G6)*0.0283168)/10</f>
        <v>0.23121401339259257</v>
      </c>
      <c r="S6" s="216"/>
      <c r="T6" s="94">
        <f>(($G6)*0.0283168)/5</f>
        <v>0.46242802678518513</v>
      </c>
      <c r="U6" s="219"/>
      <c r="V6" s="97">
        <f>(($G6)*0.0283168)/1</f>
        <v>2.3121401339259258</v>
      </c>
      <c r="W6" s="217"/>
      <c r="X6" s="102">
        <f>(($G6)*0.0283168)/0.1</f>
        <v>23.121401339259258</v>
      </c>
      <c r="Y6" s="219"/>
      <c r="Z6" s="97">
        <f>(($G6)*0.0283168)/0.01</f>
        <v>231.21401339259256</v>
      </c>
      <c r="AA6" s="217"/>
      <c r="AB6" s="94">
        <f>(($G6)*0.0283168)/0.001</f>
        <v>2312.1401339259255</v>
      </c>
      <c r="AC6" s="221"/>
      <c r="AD6" s="25"/>
    </row>
    <row r="7" spans="1:31" x14ac:dyDescent="0.25">
      <c r="A7" s="2" t="s">
        <v>2</v>
      </c>
      <c r="B7" s="69">
        <v>3</v>
      </c>
      <c r="C7" s="69">
        <v>0.1</v>
      </c>
      <c r="D7" s="140">
        <v>1</v>
      </c>
      <c r="E7" s="138">
        <f t="shared" si="0"/>
        <v>1000000</v>
      </c>
      <c r="F7" s="17">
        <f t="shared" ref="F7:F18" si="1">(((E7)/(B7))/1000)*2.20462</f>
        <v>734.87333333333322</v>
      </c>
      <c r="G7" s="82">
        <f t="shared" ref="G7:G18" si="2">(F7)/90</f>
        <v>8.1652592592592583</v>
      </c>
      <c r="H7" s="95">
        <f t="shared" ref="H7:H18" si="3">(($G7)*0.0283168)/500</f>
        <v>4.6242802678518515E-4</v>
      </c>
      <c r="I7" s="211">
        <v>6.5799999999999995E-4</v>
      </c>
      <c r="J7" s="98">
        <f t="shared" ref="J7:J18" si="4">(($G7)*0.0283168)/250</f>
        <v>9.248560535703703E-4</v>
      </c>
      <c r="K7" s="212">
        <v>1.34E-3</v>
      </c>
      <c r="L7" s="95">
        <f t="shared" ref="L7:L18" si="5">(($G7)*0.0283168)/100</f>
        <v>2.3121401339259258E-3</v>
      </c>
      <c r="M7" s="213">
        <v>3.0999999999999999E-3</v>
      </c>
      <c r="N7" s="98">
        <f t="shared" ref="N7:N18" si="6">(($G7)*0.0283168)/25</f>
        <v>9.248560535703703E-3</v>
      </c>
      <c r="O7" s="212">
        <v>6.2500000000000003E-3</v>
      </c>
      <c r="P7" s="95">
        <f t="shared" ref="P7:P18" si="7">(($G7)*0.0283168)/20</f>
        <v>1.1560700669629628E-2</v>
      </c>
      <c r="Q7" s="211">
        <v>6.7200000000000003E-3</v>
      </c>
      <c r="R7" s="98">
        <f t="shared" ref="R7:R18" si="8">(($G7)*0.0283168)/10</f>
        <v>2.3121401339259256E-2</v>
      </c>
      <c r="S7" s="188">
        <v>7.7999999999999996E-3</v>
      </c>
      <c r="T7" s="95">
        <f t="shared" ref="T7:T18" si="9">(($G7)*0.0283168)/5</f>
        <v>4.6242802678518512E-2</v>
      </c>
      <c r="U7" s="220">
        <v>8.3000000000000001E-3</v>
      </c>
      <c r="V7" s="98">
        <f t="shared" ref="V7:V18" si="10">(($G7)*0.0283168)/1</f>
        <v>0.23121401339259257</v>
      </c>
      <c r="W7" s="218">
        <v>8.1700000000000002E-3</v>
      </c>
      <c r="X7" s="102">
        <f t="shared" ref="X7:X18" si="11">(($G7)*0.0283168)/0.1</f>
        <v>2.3121401339259253</v>
      </c>
      <c r="Y7" s="220">
        <v>3.3300000000000001E-3</v>
      </c>
      <c r="Z7" s="98">
        <f t="shared" ref="Z7:Z18" si="12">(($G7)*0.0283168)/0.01</f>
        <v>23.121401339259258</v>
      </c>
      <c r="AA7" s="218">
        <v>1.1900000000000001E-3</v>
      </c>
      <c r="AB7" s="95">
        <f t="shared" ref="AB7:AB18" si="13">(($G7)*0.0283168)/0.001</f>
        <v>231.21401339259256</v>
      </c>
      <c r="AC7" s="222">
        <v>7.85E-4</v>
      </c>
      <c r="AD7" s="25"/>
    </row>
    <row r="8" spans="1:31" ht="15" customHeight="1" x14ac:dyDescent="0.25">
      <c r="A8" s="2" t="s">
        <v>3</v>
      </c>
      <c r="B8" s="69">
        <v>3</v>
      </c>
      <c r="C8" s="69">
        <v>0.1</v>
      </c>
      <c r="D8" s="154">
        <v>7.5</v>
      </c>
      <c r="E8" s="138">
        <f t="shared" si="0"/>
        <v>7500000</v>
      </c>
      <c r="F8" s="17">
        <f t="shared" si="1"/>
        <v>5511.5499999999993</v>
      </c>
      <c r="G8" s="82">
        <f t="shared" si="2"/>
        <v>61.239444444444437</v>
      </c>
      <c r="H8" s="95">
        <f t="shared" si="3"/>
        <v>3.4682102008888886E-3</v>
      </c>
      <c r="I8" s="101">
        <v>2.0569999999999999</v>
      </c>
      <c r="J8" s="98">
        <f t="shared" si="4"/>
        <v>6.9364204017777773E-3</v>
      </c>
      <c r="K8" s="92">
        <v>5.1509999999999998</v>
      </c>
      <c r="L8" s="95">
        <f t="shared" si="5"/>
        <v>1.7341051004444444E-2</v>
      </c>
      <c r="M8" s="153">
        <v>14.15</v>
      </c>
      <c r="N8" s="98">
        <f t="shared" si="6"/>
        <v>6.9364204017777778E-2</v>
      </c>
      <c r="O8" s="92">
        <v>16.41</v>
      </c>
      <c r="P8" s="95">
        <f t="shared" si="7"/>
        <v>8.6705255022222219E-2</v>
      </c>
      <c r="Q8" s="101">
        <v>16.52</v>
      </c>
      <c r="R8" s="98">
        <f t="shared" si="8"/>
        <v>0.17341051004444444</v>
      </c>
      <c r="S8" s="60">
        <v>15.63</v>
      </c>
      <c r="T8" s="95">
        <f t="shared" si="9"/>
        <v>0.34682102008888888</v>
      </c>
      <c r="U8" s="89">
        <v>11.64</v>
      </c>
      <c r="V8" s="98">
        <f t="shared" si="10"/>
        <v>1.7341051004444443</v>
      </c>
      <c r="W8" s="93">
        <v>3.6539999999999999</v>
      </c>
      <c r="X8" s="102">
        <f t="shared" si="11"/>
        <v>17.341051004444441</v>
      </c>
      <c r="Y8" s="89">
        <v>0.3695</v>
      </c>
      <c r="Z8" s="98">
        <f t="shared" si="12"/>
        <v>173.41051004444444</v>
      </c>
      <c r="AA8" s="93">
        <v>3.8199999999999998E-2</v>
      </c>
      <c r="AB8" s="95">
        <f t="shared" si="13"/>
        <v>1734.1051004444444</v>
      </c>
      <c r="AC8" s="88">
        <v>4.744E-3</v>
      </c>
    </row>
    <row r="9" spans="1:31" x14ac:dyDescent="0.25">
      <c r="A9" s="2" t="s">
        <v>4</v>
      </c>
      <c r="B9" s="69">
        <v>3</v>
      </c>
      <c r="C9" s="69">
        <v>0.1</v>
      </c>
      <c r="D9" s="140">
        <v>10</v>
      </c>
      <c r="E9" s="138">
        <f t="shared" si="0"/>
        <v>10000000</v>
      </c>
      <c r="F9" s="17">
        <f t="shared" si="1"/>
        <v>7348.7333333333327</v>
      </c>
      <c r="G9" s="82">
        <f t="shared" si="2"/>
        <v>81.652592592592583</v>
      </c>
      <c r="H9" s="95">
        <f t="shared" si="3"/>
        <v>4.6242802678518515E-3</v>
      </c>
      <c r="I9" s="211">
        <v>0.47889999999999999</v>
      </c>
      <c r="J9" s="98">
        <f t="shared" si="4"/>
        <v>9.248560535703703E-3</v>
      </c>
      <c r="K9" s="212">
        <v>0.98750000000000004</v>
      </c>
      <c r="L9" s="95">
        <f t="shared" si="5"/>
        <v>2.3121401339259259E-2</v>
      </c>
      <c r="M9" s="213">
        <v>2.0539999999999998</v>
      </c>
      <c r="N9" s="98">
        <f t="shared" si="6"/>
        <v>9.2485605357037037E-2</v>
      </c>
      <c r="O9" s="212">
        <v>5.2460000000000004</v>
      </c>
      <c r="P9" s="95">
        <f t="shared" si="7"/>
        <v>0.11560700669629628</v>
      </c>
      <c r="Q9" s="211">
        <v>5.9139999999999997</v>
      </c>
      <c r="R9" s="98">
        <f t="shared" si="8"/>
        <v>0.23121401339259257</v>
      </c>
      <c r="S9" s="188">
        <v>6.492</v>
      </c>
      <c r="T9" s="95">
        <f t="shared" si="9"/>
        <v>0.46242802678518513</v>
      </c>
      <c r="U9" s="220">
        <v>5.0860000000000003</v>
      </c>
      <c r="V9" s="98">
        <f t="shared" si="10"/>
        <v>2.3121401339259258</v>
      </c>
      <c r="W9" s="218">
        <v>1.722</v>
      </c>
      <c r="X9" s="102">
        <f t="shared" si="11"/>
        <v>23.121401339259258</v>
      </c>
      <c r="Y9" s="220">
        <v>0.18229999999999999</v>
      </c>
      <c r="Z9" s="98">
        <f t="shared" si="12"/>
        <v>231.21401339259256</v>
      </c>
      <c r="AA9" s="218">
        <v>2.5649999999999999E-2</v>
      </c>
      <c r="AB9" s="95">
        <f t="shared" si="13"/>
        <v>2312.1401339259255</v>
      </c>
      <c r="AC9" s="222">
        <v>8.4259999999999995E-3</v>
      </c>
      <c r="AD9" s="445" t="s">
        <v>59</v>
      </c>
      <c r="AE9" s="447" t="s">
        <v>60</v>
      </c>
    </row>
    <row r="10" spans="1:31" x14ac:dyDescent="0.25">
      <c r="A10" s="2" t="s">
        <v>5</v>
      </c>
      <c r="B10" s="69">
        <v>3</v>
      </c>
      <c r="C10" s="69">
        <v>0.1</v>
      </c>
      <c r="D10" s="140">
        <v>0.1</v>
      </c>
      <c r="E10" s="138">
        <f t="shared" si="0"/>
        <v>100000</v>
      </c>
      <c r="F10" s="17">
        <f t="shared" si="1"/>
        <v>73.487333333333325</v>
      </c>
      <c r="G10" s="82">
        <f t="shared" si="2"/>
        <v>0.81652592592592588</v>
      </c>
      <c r="H10" s="95">
        <f t="shared" si="3"/>
        <v>4.624280267851851E-5</v>
      </c>
      <c r="I10" s="211">
        <v>2.2680000000000001E-4</v>
      </c>
      <c r="J10" s="98">
        <f t="shared" si="4"/>
        <v>9.248560535703702E-5</v>
      </c>
      <c r="K10" s="212">
        <v>8.6859999999999997E-4</v>
      </c>
      <c r="L10" s="95">
        <f t="shared" si="5"/>
        <v>2.3121401339259255E-4</v>
      </c>
      <c r="M10" s="213">
        <v>4.1079999999999997E-3</v>
      </c>
      <c r="N10" s="98">
        <f t="shared" si="6"/>
        <v>9.248560535703702E-4</v>
      </c>
      <c r="O10" s="212">
        <v>3.524E-2</v>
      </c>
      <c r="P10" s="95">
        <f t="shared" si="7"/>
        <v>1.1560700669629629E-3</v>
      </c>
      <c r="Q10" s="211">
        <v>4.8309999999999999E-2</v>
      </c>
      <c r="R10" s="98">
        <f t="shared" si="8"/>
        <v>2.3121401339259258E-3</v>
      </c>
      <c r="S10" s="188">
        <v>9.2090000000000005E-2</v>
      </c>
      <c r="T10" s="95">
        <f t="shared" si="9"/>
        <v>4.6242802678518515E-3</v>
      </c>
      <c r="U10" s="220">
        <v>0.1371</v>
      </c>
      <c r="V10" s="98">
        <f t="shared" si="10"/>
        <v>2.3121401339259256E-2</v>
      </c>
      <c r="W10" s="218">
        <v>0.19750000000000001</v>
      </c>
      <c r="X10" s="102">
        <f t="shared" si="11"/>
        <v>0.23121401339259254</v>
      </c>
      <c r="Y10" s="220">
        <v>0.13569999999999999</v>
      </c>
      <c r="Z10" s="98">
        <f t="shared" si="12"/>
        <v>2.3121401339259253</v>
      </c>
      <c r="AA10" s="218">
        <v>2.7439999999999999E-2</v>
      </c>
      <c r="AB10" s="95">
        <f t="shared" si="13"/>
        <v>23.121401339259254</v>
      </c>
      <c r="AC10" s="222">
        <v>1.1180000000000001E-2</v>
      </c>
      <c r="AD10" s="445"/>
      <c r="AE10" s="447"/>
    </row>
    <row r="11" spans="1:31" x14ac:dyDescent="0.25">
      <c r="A11" s="2" t="s">
        <v>6</v>
      </c>
      <c r="B11" s="69">
        <v>3</v>
      </c>
      <c r="C11" s="69">
        <v>0.1</v>
      </c>
      <c r="D11" s="140">
        <v>0.1</v>
      </c>
      <c r="E11" s="138">
        <f t="shared" si="0"/>
        <v>100000</v>
      </c>
      <c r="F11" s="17">
        <f t="shared" si="1"/>
        <v>73.487333333333325</v>
      </c>
      <c r="G11" s="82">
        <f t="shared" si="2"/>
        <v>0.81652592592592588</v>
      </c>
      <c r="H11" s="95">
        <f t="shared" si="3"/>
        <v>4.624280267851851E-5</v>
      </c>
      <c r="I11" s="211">
        <v>6.5099999999999999E-7</v>
      </c>
      <c r="J11" s="98">
        <f t="shared" si="4"/>
        <v>9.248560535703702E-5</v>
      </c>
      <c r="K11" s="212">
        <v>2.2910000000000002E-6</v>
      </c>
      <c r="L11" s="95">
        <f t="shared" si="5"/>
        <v>2.3121401339259255E-4</v>
      </c>
      <c r="M11" s="213">
        <v>1.111E-5</v>
      </c>
      <c r="N11" s="98">
        <f t="shared" si="6"/>
        <v>9.248560535703702E-4</v>
      </c>
      <c r="O11" s="212">
        <v>1.305E-4</v>
      </c>
      <c r="P11" s="95">
        <f t="shared" si="7"/>
        <v>1.1560700669629629E-3</v>
      </c>
      <c r="Q11" s="211">
        <v>1.9220000000000001E-4</v>
      </c>
      <c r="R11" s="98">
        <f t="shared" si="8"/>
        <v>2.3121401339259258E-3</v>
      </c>
      <c r="S11" s="188">
        <v>4.593E-4</v>
      </c>
      <c r="T11" s="95">
        <f t="shared" si="9"/>
        <v>4.6242802678518515E-3</v>
      </c>
      <c r="U11" s="220">
        <v>8.9800000000000004E-4</v>
      </c>
      <c r="V11" s="98">
        <f t="shared" si="10"/>
        <v>2.3121401339259256E-2</v>
      </c>
      <c r="W11" s="218">
        <v>3.7060000000000001E-3</v>
      </c>
      <c r="X11" s="102">
        <f t="shared" si="11"/>
        <v>0.23121401339259254</v>
      </c>
      <c r="Y11" s="220">
        <v>2.1899999999999999E-2</v>
      </c>
      <c r="Z11" s="98">
        <f t="shared" si="12"/>
        <v>2.3121401339259253</v>
      </c>
      <c r="AA11" s="218">
        <v>1.993E-2</v>
      </c>
      <c r="AB11" s="95">
        <f t="shared" si="13"/>
        <v>23.121401339259254</v>
      </c>
      <c r="AC11" s="222">
        <v>1.231E-2</v>
      </c>
      <c r="AD11" s="445"/>
      <c r="AE11" s="447"/>
    </row>
    <row r="12" spans="1:31" ht="15.75" thickBot="1" x14ac:dyDescent="0.3">
      <c r="A12" s="2" t="s">
        <v>7</v>
      </c>
      <c r="B12" s="69">
        <v>3</v>
      </c>
      <c r="C12" s="69">
        <v>0.1</v>
      </c>
      <c r="D12" s="152">
        <v>35</v>
      </c>
      <c r="E12" s="138">
        <f t="shared" si="0"/>
        <v>35000000</v>
      </c>
      <c r="F12" s="45">
        <f t="shared" si="1"/>
        <v>25720.566666666662</v>
      </c>
      <c r="G12" s="82">
        <f t="shared" si="2"/>
        <v>285.784074074074</v>
      </c>
      <c r="H12" s="95">
        <f t="shared" si="3"/>
        <v>1.6184980937481476E-2</v>
      </c>
      <c r="I12" s="211">
        <v>0.82599999999999996</v>
      </c>
      <c r="J12" s="98">
        <f t="shared" si="4"/>
        <v>3.2369961874962952E-2</v>
      </c>
      <c r="K12" s="212">
        <v>2.3199999999999998</v>
      </c>
      <c r="L12" s="95">
        <f t="shared" si="5"/>
        <v>8.0924904687407387E-2</v>
      </c>
      <c r="M12" s="213">
        <v>7.2</v>
      </c>
      <c r="N12" s="98">
        <f t="shared" si="6"/>
        <v>0.32369961874962955</v>
      </c>
      <c r="O12" s="212">
        <v>14.9</v>
      </c>
      <c r="P12" s="95">
        <f t="shared" si="7"/>
        <v>0.40462452343703692</v>
      </c>
      <c r="Q12" s="211">
        <v>15</v>
      </c>
      <c r="R12" s="98">
        <f t="shared" si="8"/>
        <v>0.80924904687407384</v>
      </c>
      <c r="S12" s="188">
        <v>13</v>
      </c>
      <c r="T12" s="95">
        <f t="shared" si="9"/>
        <v>1.6184980937481477</v>
      </c>
      <c r="U12" s="220">
        <v>8.8699999999999992</v>
      </c>
      <c r="V12" s="98">
        <f t="shared" si="10"/>
        <v>8.0924904687407384</v>
      </c>
      <c r="W12" s="218">
        <v>3</v>
      </c>
      <c r="X12" s="102">
        <f t="shared" si="11"/>
        <v>80.924904687407377</v>
      </c>
      <c r="Y12" s="220">
        <v>0.39800000000000002</v>
      </c>
      <c r="Z12" s="98">
        <f t="shared" si="12"/>
        <v>809.24904687407377</v>
      </c>
      <c r="AA12" s="218">
        <v>0.115</v>
      </c>
      <c r="AB12" s="95">
        <f t="shared" si="13"/>
        <v>8092.4904687407379</v>
      </c>
      <c r="AC12" s="222">
        <v>6.9500000000000006E-2</v>
      </c>
      <c r="AD12" s="445"/>
      <c r="AE12" s="447"/>
    </row>
    <row r="13" spans="1:31" x14ac:dyDescent="0.25">
      <c r="A13" s="2" t="s">
        <v>268</v>
      </c>
      <c r="B13" s="186">
        <v>1.6</v>
      </c>
      <c r="C13" s="200">
        <v>0.1</v>
      </c>
      <c r="D13" s="235">
        <v>18</v>
      </c>
      <c r="E13" s="138">
        <f t="shared" si="0"/>
        <v>18000000</v>
      </c>
      <c r="F13" s="45">
        <f t="shared" si="1"/>
        <v>24801.974999999999</v>
      </c>
      <c r="G13" s="82">
        <f t="shared" si="2"/>
        <v>275.57749999999999</v>
      </c>
      <c r="H13" s="95">
        <f t="shared" si="3"/>
        <v>1.5606945904E-2</v>
      </c>
      <c r="I13" s="211"/>
      <c r="J13" s="98">
        <f t="shared" si="4"/>
        <v>3.1213891808000001E-2</v>
      </c>
      <c r="K13" s="212"/>
      <c r="L13" s="95">
        <f t="shared" si="5"/>
        <v>7.8034729519999999E-2</v>
      </c>
      <c r="M13" s="213"/>
      <c r="N13" s="98">
        <f t="shared" si="6"/>
        <v>0.31213891807999999</v>
      </c>
      <c r="O13" s="212"/>
      <c r="P13" s="95">
        <f t="shared" si="7"/>
        <v>0.39017364760000001</v>
      </c>
      <c r="Q13" s="211"/>
      <c r="R13" s="98">
        <f t="shared" si="8"/>
        <v>0.78034729520000001</v>
      </c>
      <c r="S13" s="188"/>
      <c r="T13" s="95">
        <f t="shared" si="9"/>
        <v>1.5606945904</v>
      </c>
      <c r="U13" s="220"/>
      <c r="V13" s="98">
        <f t="shared" si="10"/>
        <v>7.8034729519999999</v>
      </c>
      <c r="W13" s="218"/>
      <c r="X13" s="102">
        <f t="shared" si="11"/>
        <v>78.034729519999999</v>
      </c>
      <c r="Y13" s="220"/>
      <c r="Z13" s="98">
        <f t="shared" si="12"/>
        <v>780.34729519999996</v>
      </c>
      <c r="AA13" s="218"/>
      <c r="AB13" s="95">
        <f t="shared" si="13"/>
        <v>7803.4729520000001</v>
      </c>
      <c r="AC13" s="222"/>
      <c r="AD13" s="445"/>
      <c r="AE13" s="447"/>
    </row>
    <row r="14" spans="1:31" ht="15.75" thickBot="1" x14ac:dyDescent="0.3">
      <c r="A14" s="2" t="s">
        <v>264</v>
      </c>
      <c r="B14" s="186">
        <v>30</v>
      </c>
      <c r="C14" s="200">
        <v>1</v>
      </c>
      <c r="D14" s="235">
        <v>35</v>
      </c>
      <c r="E14" s="138">
        <f t="shared" si="0"/>
        <v>35000000</v>
      </c>
      <c r="F14" s="45">
        <f t="shared" si="1"/>
        <v>2572.0566666666664</v>
      </c>
      <c r="G14" s="82">
        <f t="shared" si="2"/>
        <v>28.578407407407404</v>
      </c>
      <c r="H14" s="95">
        <f t="shared" si="3"/>
        <v>1.6184980937481478E-3</v>
      </c>
      <c r="I14" s="211"/>
      <c r="J14" s="98">
        <f t="shared" si="4"/>
        <v>3.2369961874962956E-3</v>
      </c>
      <c r="K14" s="212"/>
      <c r="L14" s="95">
        <f t="shared" si="5"/>
        <v>8.0924904687407397E-3</v>
      </c>
      <c r="M14" s="213"/>
      <c r="N14" s="98">
        <f t="shared" si="6"/>
        <v>3.2369961874962959E-2</v>
      </c>
      <c r="O14" s="212"/>
      <c r="P14" s="95">
        <f t="shared" si="7"/>
        <v>4.04624523437037E-2</v>
      </c>
      <c r="Q14" s="211"/>
      <c r="R14" s="98">
        <f t="shared" si="8"/>
        <v>8.0924904687407401E-2</v>
      </c>
      <c r="S14" s="188"/>
      <c r="T14" s="95">
        <f t="shared" si="9"/>
        <v>0.1618498093748148</v>
      </c>
      <c r="U14" s="220"/>
      <c r="V14" s="98">
        <f t="shared" si="10"/>
        <v>0.80924904687407395</v>
      </c>
      <c r="W14" s="218"/>
      <c r="X14" s="102">
        <f t="shared" si="11"/>
        <v>8.0924904687407384</v>
      </c>
      <c r="Y14" s="220"/>
      <c r="Z14" s="98">
        <f t="shared" si="12"/>
        <v>80.924904687407391</v>
      </c>
      <c r="AA14" s="218"/>
      <c r="AB14" s="95">
        <f t="shared" si="13"/>
        <v>809.24904687407388</v>
      </c>
      <c r="AC14" s="222"/>
      <c r="AD14" s="445"/>
      <c r="AE14" s="447"/>
    </row>
    <row r="15" spans="1:31" ht="15.75" thickBot="1" x14ac:dyDescent="0.3">
      <c r="A15" s="2" t="s">
        <v>263</v>
      </c>
      <c r="B15" s="69">
        <v>30</v>
      </c>
      <c r="C15" s="69">
        <v>1</v>
      </c>
      <c r="D15" s="142">
        <v>100</v>
      </c>
      <c r="E15" s="138">
        <f t="shared" si="0"/>
        <v>100000000</v>
      </c>
      <c r="F15" s="45">
        <f t="shared" si="1"/>
        <v>7348.7333333333327</v>
      </c>
      <c r="G15" s="82">
        <f t="shared" si="2"/>
        <v>81.652592592592583</v>
      </c>
      <c r="H15" s="95">
        <f t="shared" si="3"/>
        <v>4.6242802678518515E-3</v>
      </c>
      <c r="I15" s="211">
        <v>0.1065</v>
      </c>
      <c r="J15" s="98">
        <f t="shared" si="4"/>
        <v>9.248560535703703E-3</v>
      </c>
      <c r="K15" s="212">
        <v>0.23599999999999999</v>
      </c>
      <c r="L15" s="95">
        <f t="shared" si="5"/>
        <v>2.3121401339259259E-2</v>
      </c>
      <c r="M15" s="213">
        <v>0.52810000000000001</v>
      </c>
      <c r="N15" s="98">
        <f t="shared" si="6"/>
        <v>9.2485605357037037E-2</v>
      </c>
      <c r="O15" s="212">
        <v>1.1559999999999999</v>
      </c>
      <c r="P15" s="95">
        <f t="shared" si="7"/>
        <v>0.11560700669629628</v>
      </c>
      <c r="Q15" s="211">
        <v>1.262</v>
      </c>
      <c r="R15" s="98">
        <f t="shared" si="8"/>
        <v>0.23121401339259257</v>
      </c>
      <c r="S15" s="188">
        <v>1.266</v>
      </c>
      <c r="T15" s="95">
        <f t="shared" si="9"/>
        <v>0.46242802678518513</v>
      </c>
      <c r="U15" s="220">
        <v>0.94730000000000003</v>
      </c>
      <c r="V15" s="98">
        <f t="shared" si="10"/>
        <v>2.3121401339259258</v>
      </c>
      <c r="W15" s="218">
        <v>0.37119999999999997</v>
      </c>
      <c r="X15" s="102">
        <f t="shared" si="11"/>
        <v>23.121401339259258</v>
      </c>
      <c r="Y15" s="220">
        <v>9.4579999999999997E-2</v>
      </c>
      <c r="Z15" s="98">
        <f t="shared" si="12"/>
        <v>231.21401339259256</v>
      </c>
      <c r="AA15" s="218">
        <v>5.3920000000000003E-2</v>
      </c>
      <c r="AB15" s="95">
        <f t="shared" si="13"/>
        <v>2312.1401339259255</v>
      </c>
      <c r="AC15" s="222">
        <v>3.977E-2</v>
      </c>
      <c r="AD15" s="446"/>
      <c r="AE15" s="448"/>
    </row>
    <row r="16" spans="1:31" x14ac:dyDescent="0.25">
      <c r="A16" s="2" t="s">
        <v>10</v>
      </c>
      <c r="B16" s="69">
        <v>30</v>
      </c>
      <c r="C16" s="69">
        <v>1</v>
      </c>
      <c r="D16" s="140">
        <v>0.1</v>
      </c>
      <c r="E16" s="138">
        <f t="shared" si="0"/>
        <v>100000</v>
      </c>
      <c r="F16" s="17">
        <f t="shared" si="1"/>
        <v>7.3487333333333327</v>
      </c>
      <c r="G16" s="82">
        <f t="shared" si="2"/>
        <v>8.1652592592592582E-2</v>
      </c>
      <c r="H16" s="95">
        <f t="shared" si="3"/>
        <v>4.6242802678518513E-6</v>
      </c>
      <c r="I16" s="211">
        <v>2.563E-4</v>
      </c>
      <c r="J16" s="98">
        <f t="shared" si="4"/>
        <v>9.2485605357037026E-6</v>
      </c>
      <c r="K16" s="212">
        <v>1.2579999999999999E-4</v>
      </c>
      <c r="L16" s="95">
        <f t="shared" si="5"/>
        <v>2.3121401339259258E-5</v>
      </c>
      <c r="M16" s="213">
        <v>1.15E-4</v>
      </c>
      <c r="N16" s="98">
        <f t="shared" si="6"/>
        <v>9.2485605357037033E-5</v>
      </c>
      <c r="O16" s="212">
        <v>1.997E-4</v>
      </c>
      <c r="P16" s="95">
        <f t="shared" si="7"/>
        <v>1.1560700669629629E-4</v>
      </c>
      <c r="Q16" s="211">
        <v>2.377E-4</v>
      </c>
      <c r="R16" s="98">
        <f t="shared" si="8"/>
        <v>2.3121401339259258E-4</v>
      </c>
      <c r="S16" s="188">
        <v>4.8890000000000001E-4</v>
      </c>
      <c r="T16" s="95">
        <f t="shared" si="9"/>
        <v>4.6242802678518515E-4</v>
      </c>
      <c r="U16" s="220">
        <v>1.1950000000000001E-3</v>
      </c>
      <c r="V16" s="98">
        <f t="shared" si="10"/>
        <v>2.3121401339259258E-3</v>
      </c>
      <c r="W16" s="218">
        <v>8.3140000000000002E-3</v>
      </c>
      <c r="X16" s="102">
        <f t="shared" si="11"/>
        <v>2.3121401339259256E-2</v>
      </c>
      <c r="Y16" s="220">
        <v>3.0499999999999999E-2</v>
      </c>
      <c r="Z16" s="98">
        <f t="shared" si="12"/>
        <v>0.23121401339259257</v>
      </c>
      <c r="AA16" s="218">
        <v>6.6119999999999998E-2</v>
      </c>
      <c r="AB16" s="95">
        <f t="shared" si="13"/>
        <v>2.3121401339259258</v>
      </c>
      <c r="AC16" s="222">
        <v>4.2610000000000002E-2</v>
      </c>
      <c r="AD16" s="95">
        <f>(($G16)*0.0283168)/0.0001</f>
        <v>23.121401339259258</v>
      </c>
      <c r="AE16" s="87">
        <v>5.5300000000000002E-2</v>
      </c>
    </row>
    <row r="17" spans="1:31" ht="15.75" thickBot="1" x14ac:dyDescent="0.3">
      <c r="A17" s="2" t="s">
        <v>11</v>
      </c>
      <c r="B17" s="69">
        <v>30</v>
      </c>
      <c r="C17" s="69">
        <v>1</v>
      </c>
      <c r="D17" s="141">
        <v>0.1</v>
      </c>
      <c r="E17" s="138">
        <f t="shared" si="0"/>
        <v>100000</v>
      </c>
      <c r="F17" s="17">
        <f t="shared" si="1"/>
        <v>7.3487333333333327</v>
      </c>
      <c r="G17" s="82">
        <f t="shared" si="2"/>
        <v>8.1652592592592582E-2</v>
      </c>
      <c r="H17" s="95">
        <f t="shared" si="3"/>
        <v>4.6242802678518513E-6</v>
      </c>
      <c r="I17" s="211">
        <v>6.198E-5</v>
      </c>
      <c r="J17" s="98">
        <f t="shared" si="4"/>
        <v>9.2485605357037026E-6</v>
      </c>
      <c r="K17" s="212">
        <v>3.0409999999999999E-5</v>
      </c>
      <c r="L17" s="95">
        <f t="shared" si="5"/>
        <v>2.3121401339259258E-5</v>
      </c>
      <c r="M17" s="213">
        <v>2.7800000000000001E-5</v>
      </c>
      <c r="N17" s="98">
        <f t="shared" si="6"/>
        <v>9.2485605357037033E-5</v>
      </c>
      <c r="O17" s="212">
        <v>2.764E-5</v>
      </c>
      <c r="P17" s="95">
        <f t="shared" si="7"/>
        <v>1.1560700669629629E-4</v>
      </c>
      <c r="Q17" s="211">
        <v>2.762E-5</v>
      </c>
      <c r="R17" s="98">
        <f t="shared" si="8"/>
        <v>2.3121401339259258E-4</v>
      </c>
      <c r="S17" s="188">
        <v>2.76E-5</v>
      </c>
      <c r="T17" s="95">
        <f t="shared" si="9"/>
        <v>4.6242802678518515E-4</v>
      </c>
      <c r="U17" s="220">
        <v>2.3940000000000001E-5</v>
      </c>
      <c r="V17" s="98">
        <f t="shared" si="10"/>
        <v>2.3121401339259258E-3</v>
      </c>
      <c r="W17" s="218">
        <v>4.7869999999999998E-4</v>
      </c>
      <c r="X17" s="102">
        <f t="shared" si="11"/>
        <v>2.3121401339259256E-2</v>
      </c>
      <c r="Y17" s="220">
        <v>9.7109999999999991E-3</v>
      </c>
      <c r="Z17" s="98">
        <f t="shared" si="12"/>
        <v>0.23121401339259257</v>
      </c>
      <c r="AA17" s="218">
        <v>5.629E-2</v>
      </c>
      <c r="AB17" s="95">
        <f t="shared" si="13"/>
        <v>2.3121401339259258</v>
      </c>
      <c r="AC17" s="222">
        <v>4.4089999999999997E-2</v>
      </c>
      <c r="AD17" s="95">
        <f>(($G17)*0.0283168)/0.0001</f>
        <v>23.121401339259258</v>
      </c>
      <c r="AE17" s="87">
        <v>3.4099999999999998E-2</v>
      </c>
    </row>
    <row r="18" spans="1:31" ht="15.75" thickBot="1" x14ac:dyDescent="0.3">
      <c r="A18" s="3" t="s">
        <v>13</v>
      </c>
      <c r="B18" s="242">
        <v>13</v>
      </c>
      <c r="C18" s="70"/>
      <c r="D18" s="143">
        <v>144</v>
      </c>
      <c r="E18" s="138">
        <f t="shared" si="0"/>
        <v>144000000</v>
      </c>
      <c r="F18" s="47">
        <f t="shared" si="1"/>
        <v>24420.40615384615</v>
      </c>
      <c r="G18" s="83">
        <f t="shared" si="2"/>
        <v>271.3378461538461</v>
      </c>
      <c r="H18" s="96">
        <f t="shared" si="3"/>
        <v>1.5366839043938459E-2</v>
      </c>
      <c r="I18" s="230">
        <v>3.5000000000000003E-2</v>
      </c>
      <c r="J18" s="99">
        <f t="shared" si="4"/>
        <v>3.0733678087876918E-2</v>
      </c>
      <c r="K18" s="236">
        <v>5.8599999999999999E-2</v>
      </c>
      <c r="L18" s="96">
        <f t="shared" si="5"/>
        <v>7.68341952196923E-2</v>
      </c>
      <c r="M18" s="231">
        <v>0.14000000000000001</v>
      </c>
      <c r="N18" s="99">
        <f t="shared" si="6"/>
        <v>0.3073367808787692</v>
      </c>
      <c r="O18" s="236">
        <v>1.18</v>
      </c>
      <c r="P18" s="96">
        <f t="shared" si="7"/>
        <v>0.38417097609846146</v>
      </c>
      <c r="Q18" s="230">
        <v>1.66</v>
      </c>
      <c r="R18" s="99">
        <f t="shared" si="8"/>
        <v>0.76834195219692292</v>
      </c>
      <c r="S18" s="189">
        <v>4.4400000000000004</v>
      </c>
      <c r="T18" s="96">
        <f t="shared" si="9"/>
        <v>1.5366839043938458</v>
      </c>
      <c r="U18" s="233">
        <v>9.68</v>
      </c>
      <c r="V18" s="99">
        <f t="shared" si="10"/>
        <v>7.6834195219692294</v>
      </c>
      <c r="W18" s="237">
        <v>24.4</v>
      </c>
      <c r="X18" s="102">
        <f t="shared" si="11"/>
        <v>76.83419521969229</v>
      </c>
      <c r="Y18" s="233">
        <v>4.8899999999999997</v>
      </c>
      <c r="Z18" s="99">
        <f t="shared" si="12"/>
        <v>768.34195219692288</v>
      </c>
      <c r="AA18" s="237">
        <v>0.499</v>
      </c>
      <c r="AB18" s="96">
        <f t="shared" si="13"/>
        <v>7683.4195219692292</v>
      </c>
      <c r="AC18" s="232">
        <v>5.0099999999999999E-2</v>
      </c>
      <c r="AD18" s="25"/>
    </row>
    <row r="20" spans="1:31" x14ac:dyDescent="0.25">
      <c r="W20" t="s">
        <v>58</v>
      </c>
    </row>
    <row r="21" spans="1:31" ht="18.75" x14ac:dyDescent="0.3">
      <c r="A21" s="453" t="s">
        <v>31</v>
      </c>
      <c r="B21" s="453"/>
      <c r="C21" s="453"/>
      <c r="D21" s="453"/>
      <c r="E21" s="453"/>
      <c r="F21" s="453"/>
      <c r="G21" s="453"/>
      <c r="H21" s="453"/>
      <c r="W21" t="s">
        <v>55</v>
      </c>
    </row>
    <row r="22" spans="1:31" ht="15.75" thickBot="1" x14ac:dyDescent="0.3"/>
    <row r="23" spans="1:31" ht="18" thickBot="1" x14ac:dyDescent="0.3">
      <c r="A23" s="81" t="s">
        <v>32</v>
      </c>
      <c r="B23" s="408" t="s">
        <v>20</v>
      </c>
      <c r="C23" s="452"/>
      <c r="D23" s="454" t="s">
        <v>21</v>
      </c>
      <c r="E23" s="452"/>
      <c r="F23" s="408" t="s">
        <v>22</v>
      </c>
      <c r="G23" s="409"/>
      <c r="H23" s="408" t="s">
        <v>23</v>
      </c>
      <c r="I23" s="409"/>
      <c r="J23" s="408" t="s">
        <v>26</v>
      </c>
      <c r="K23" s="409"/>
      <c r="L23" s="408" t="s">
        <v>27</v>
      </c>
      <c r="M23" s="409"/>
      <c r="N23" s="408" t="s">
        <v>30</v>
      </c>
      <c r="O23" s="409"/>
      <c r="P23" s="408" t="s">
        <v>28</v>
      </c>
      <c r="Q23" s="452"/>
      <c r="R23" s="408" t="s">
        <v>29</v>
      </c>
      <c r="S23" s="409"/>
      <c r="T23" s="408" t="s">
        <v>120</v>
      </c>
      <c r="U23" s="452"/>
      <c r="V23" s="450" t="s">
        <v>122</v>
      </c>
      <c r="W23" s="451"/>
      <c r="X23" s="450" t="s">
        <v>121</v>
      </c>
      <c r="Y23" s="451"/>
      <c r="Z23" s="65"/>
      <c r="AA23" s="65"/>
      <c r="AB23" s="65"/>
      <c r="AC23" s="65"/>
    </row>
    <row r="24" spans="1:31" ht="27" thickBot="1" x14ac:dyDescent="0.3">
      <c r="A24" s="80" t="s">
        <v>25</v>
      </c>
      <c r="B24" s="127" t="s">
        <v>18</v>
      </c>
      <c r="C24" s="104" t="s">
        <v>19</v>
      </c>
      <c r="D24" s="126" t="s">
        <v>18</v>
      </c>
      <c r="E24" s="104" t="s">
        <v>19</v>
      </c>
      <c r="F24" s="103" t="s">
        <v>18</v>
      </c>
      <c r="G24" s="104" t="s">
        <v>19</v>
      </c>
      <c r="H24" s="103" t="s">
        <v>18</v>
      </c>
      <c r="I24" s="104" t="s">
        <v>19</v>
      </c>
      <c r="J24" s="103" t="s">
        <v>18</v>
      </c>
      <c r="K24" s="104" t="s">
        <v>19</v>
      </c>
      <c r="L24" s="103" t="s">
        <v>18</v>
      </c>
      <c r="M24" s="104" t="s">
        <v>19</v>
      </c>
      <c r="N24" s="103" t="s">
        <v>18</v>
      </c>
      <c r="O24" s="104" t="s">
        <v>19</v>
      </c>
      <c r="P24" s="105" t="s">
        <v>18</v>
      </c>
      <c r="Q24" s="104" t="s">
        <v>19</v>
      </c>
      <c r="R24" s="126" t="s">
        <v>18</v>
      </c>
      <c r="S24" s="104" t="s">
        <v>19</v>
      </c>
      <c r="T24" s="105" t="s">
        <v>18</v>
      </c>
      <c r="U24" s="125" t="s">
        <v>19</v>
      </c>
      <c r="V24" s="105" t="s">
        <v>18</v>
      </c>
      <c r="W24" s="125" t="s">
        <v>19</v>
      </c>
      <c r="X24" s="105" t="s">
        <v>18</v>
      </c>
      <c r="Y24" s="125" t="s">
        <v>19</v>
      </c>
      <c r="Z24" s="78"/>
      <c r="AA24" s="78"/>
      <c r="AB24" s="78"/>
      <c r="AC24" s="78"/>
    </row>
    <row r="25" spans="1:31" x14ac:dyDescent="0.25">
      <c r="A25" s="76">
        <v>20000</v>
      </c>
      <c r="B25" s="128">
        <f>($A25)/('Model Output'!$I$22)</f>
        <v>1729998948.2939138</v>
      </c>
      <c r="C25" s="129">
        <f>('Model Output'!$L$22)</f>
        <v>8.3999999999999992E-6</v>
      </c>
      <c r="D25" s="130">
        <f>($A25)/('Model Output'!$I$23)</f>
        <v>230666526.43918848</v>
      </c>
      <c r="E25" s="128">
        <f>('Model Output'!$L$23)</f>
        <v>2.8600000000000001E-3</v>
      </c>
      <c r="F25" s="131">
        <f>($A25)/('Model Output'!$I$24)</f>
        <v>172999894.82939136</v>
      </c>
      <c r="G25" s="128">
        <f>('Model Output'!$L$24)</f>
        <v>7.5000000000000002E-4</v>
      </c>
      <c r="H25" s="131">
        <f>($A25)/('Model Output'!$I$25)</f>
        <v>17299989482.939137</v>
      </c>
      <c r="I25" s="128">
        <f>('Model Output'!$L$25)</f>
        <v>9.1199999999999994E-5</v>
      </c>
      <c r="J25" s="131">
        <f>($A25)/('Model Output'!$I$26)</f>
        <v>17299989482.939137</v>
      </c>
      <c r="K25" s="128">
        <f>('Model Output'!$L$26)</f>
        <v>2.4299999999999999E-7</v>
      </c>
      <c r="L25" s="131">
        <f>($A25)/('Model Output'!$I$27)</f>
        <v>49428541.379826114</v>
      </c>
      <c r="M25" s="128">
        <f>('Model Output'!$L$27)</f>
        <v>5.6800000000000004E-4</v>
      </c>
      <c r="N25" s="131">
        <f>($A25)/('Model Output'!$I$31)</f>
        <v>172999894.82939136</v>
      </c>
      <c r="O25" s="128">
        <f>('Model Output'!$L$31)</f>
        <v>1.8E-3</v>
      </c>
      <c r="P25" s="131">
        <f>($A25)/('Model Output'!$I$32)</f>
        <v>172999894829.39136</v>
      </c>
      <c r="Q25" s="129">
        <f>('Model Output'!$L$32)</f>
        <v>6.8999999999999997E-4</v>
      </c>
      <c r="R25" s="130">
        <f>($A25)/('Model Output'!$I$33)</f>
        <v>172999894829.39136</v>
      </c>
      <c r="S25" s="128">
        <f>('Model Output'!$L$33)</f>
        <v>1.66E-4</v>
      </c>
      <c r="T25" s="131">
        <f>($A25)/('Model Output'!$I$35)</f>
        <v>52060153.536622405</v>
      </c>
      <c r="U25" s="132">
        <f>('Model Output'!$L$35)</f>
        <v>5.13E-3</v>
      </c>
      <c r="V25" s="131">
        <f>($A25)/('Model Output'!$I$28)</f>
        <v>51259228.097597435</v>
      </c>
      <c r="W25" s="132">
        <f>('Model Output'!$L$28)</f>
        <v>0</v>
      </c>
      <c r="X25" s="131">
        <f>($A25)/('Model Output'!$I$30)</f>
        <v>49428541.379826114</v>
      </c>
      <c r="Y25" s="132">
        <f>('Model Output'!$L$30)</f>
        <v>0</v>
      </c>
      <c r="Z25" s="78"/>
      <c r="AA25" s="78"/>
      <c r="AB25" s="78"/>
      <c r="AC25" s="78"/>
    </row>
    <row r="26" spans="1:31" x14ac:dyDescent="0.25">
      <c r="A26" s="76">
        <v>1000</v>
      </c>
      <c r="B26" s="128">
        <f>($A26)/('Model Output'!$H$22)</f>
        <v>4324997.3707347838</v>
      </c>
      <c r="C26" s="129">
        <f>('Model Output'!$J$22)</f>
        <v>3.1E-4</v>
      </c>
      <c r="D26" s="133">
        <f>($A26)/('Model Output'!$H$23)</f>
        <v>576666.31609797117</v>
      </c>
      <c r="E26" s="128">
        <f>('Model Output'!$J$23)</f>
        <v>0.68910000000000005</v>
      </c>
      <c r="F26" s="128">
        <f>($A26)/('Model Output'!$H$24)</f>
        <v>432499.73707347841</v>
      </c>
      <c r="G26" s="128">
        <f>('Model Output'!$J$24)</f>
        <v>0.18</v>
      </c>
      <c r="H26" s="128">
        <f>($A26)/('Model Output'!$H$25)</f>
        <v>43249973.707347848</v>
      </c>
      <c r="I26" s="128">
        <f>('Model Output'!$J$25)</f>
        <v>1.3100000000000001E-4</v>
      </c>
      <c r="J26" s="128">
        <f>($A26)/('Model Output'!$H$26)</f>
        <v>43249973.707347848</v>
      </c>
      <c r="K26" s="128">
        <f>('Model Output'!$J$26)</f>
        <v>4.5699999999999998E-7</v>
      </c>
      <c r="L26" s="128">
        <f>($A26)/('Model Output'!$H$27)</f>
        <v>123571.35344956529</v>
      </c>
      <c r="M26" s="128">
        <f>('Model Output'!$J$27)</f>
        <v>0.252</v>
      </c>
      <c r="N26" s="128">
        <f>($A26)/('Model Output'!$H$31)</f>
        <v>432499.73707347841</v>
      </c>
      <c r="O26" s="128">
        <f>('Model Output'!$J$31)</f>
        <v>3.6999999999999998E-2</v>
      </c>
      <c r="P26" s="128">
        <f>($A26)/('Model Output'!$H$32)</f>
        <v>432499737.0734784</v>
      </c>
      <c r="Q26" s="129">
        <f>('Model Output'!$J$32)</f>
        <v>5.3200000000000003E-4</v>
      </c>
      <c r="R26" s="133">
        <f>($A26)/('Model Output'!$H$33)</f>
        <v>432499737.0734784</v>
      </c>
      <c r="S26" s="128">
        <f>('Model Output'!$J$33)</f>
        <v>1.2899999999999999E-4</v>
      </c>
      <c r="T26" s="128">
        <f>($A26)/('Model Output'!$H$35)</f>
        <v>130150.383841556</v>
      </c>
      <c r="U26" s="132">
        <f>('Model Output'!$J$35)</f>
        <v>0.03</v>
      </c>
      <c r="V26" s="128">
        <f>($A26)/('Model Output'!$H$28)</f>
        <v>128148.07024399358</v>
      </c>
      <c r="W26" s="132">
        <f>('Model Output'!$J$28)</f>
        <v>0</v>
      </c>
      <c r="X26" s="128">
        <f>($A26)/('Model Output'!$H$30)</f>
        <v>123571.35344956529</v>
      </c>
      <c r="Y26" s="132">
        <f>('Model Output'!$J$30)</f>
        <v>6.9470000000000001</v>
      </c>
      <c r="Z26" s="78"/>
      <c r="AA26" s="78"/>
      <c r="AB26" s="78"/>
      <c r="AC26" s="78"/>
    </row>
    <row r="27" spans="1:31" x14ac:dyDescent="0.25">
      <c r="A27" s="76">
        <v>500</v>
      </c>
      <c r="B27" s="128">
        <f>($A27)/($H$7)</f>
        <v>1081249.342683696</v>
      </c>
      <c r="C27" s="129">
        <f>($I$7)</f>
        <v>6.5799999999999995E-4</v>
      </c>
      <c r="D27" s="133">
        <f>($A27)/($H$8)</f>
        <v>144166.57902449279</v>
      </c>
      <c r="E27" s="128">
        <f>($I$8)</f>
        <v>2.0569999999999999</v>
      </c>
      <c r="F27" s="128">
        <f>($A27)/($H$9)</f>
        <v>108124.9342683696</v>
      </c>
      <c r="G27" s="128">
        <f>($I$9)</f>
        <v>0.47889999999999999</v>
      </c>
      <c r="H27" s="128">
        <f>($A27)/($H$10)</f>
        <v>10812493.426836962</v>
      </c>
      <c r="I27" s="128">
        <f>($I$10)</f>
        <v>2.2680000000000001E-4</v>
      </c>
      <c r="J27" s="128">
        <f>($A27)/($H$11)</f>
        <v>10812493.426836962</v>
      </c>
      <c r="K27" s="128">
        <f>($I$11)</f>
        <v>6.5099999999999999E-7</v>
      </c>
      <c r="L27" s="128">
        <f>($A27)/($H$12)</f>
        <v>30892.838362391321</v>
      </c>
      <c r="M27" s="128">
        <f>($I$12)</f>
        <v>0.82599999999999996</v>
      </c>
      <c r="N27" s="128">
        <f>($A27)/($H$15)</f>
        <v>108124.9342683696</v>
      </c>
      <c r="O27" s="128">
        <f>($I$15)</f>
        <v>0.1065</v>
      </c>
      <c r="P27" s="128">
        <f>($A27)/($H$16)</f>
        <v>108124934.2683696</v>
      </c>
      <c r="Q27" s="129">
        <f>($I$16)</f>
        <v>2.563E-4</v>
      </c>
      <c r="R27" s="133">
        <f>($A27)/($H$17)</f>
        <v>108124934.2683696</v>
      </c>
      <c r="S27" s="128">
        <f>($I$17)</f>
        <v>6.198E-5</v>
      </c>
      <c r="T27" s="128">
        <f>($A27)/($H$18)</f>
        <v>32537.595960389001</v>
      </c>
      <c r="U27" s="132">
        <f>($I$18)</f>
        <v>3.5000000000000003E-2</v>
      </c>
      <c r="V27" s="128">
        <f>($A27)/($H$13)</f>
        <v>32037.017560998396</v>
      </c>
      <c r="W27" s="132">
        <f>($I$13)</f>
        <v>0</v>
      </c>
      <c r="X27" s="128">
        <f>($A27)/($H$14)</f>
        <v>308928.38362391316</v>
      </c>
      <c r="Y27" s="132">
        <f>($I$14)</f>
        <v>0</v>
      </c>
      <c r="Z27" s="78"/>
      <c r="AA27" s="78"/>
      <c r="AB27" s="78"/>
      <c r="AC27" s="78"/>
    </row>
    <row r="28" spans="1:31" x14ac:dyDescent="0.25">
      <c r="A28" s="76">
        <v>250</v>
      </c>
      <c r="B28" s="128">
        <f>($A28)/($J$7)</f>
        <v>270312.33567092399</v>
      </c>
      <c r="C28" s="129">
        <f>$K$7</f>
        <v>1.34E-3</v>
      </c>
      <c r="D28" s="133">
        <f>($A28)/($J$8)</f>
        <v>36041.644756123198</v>
      </c>
      <c r="E28" s="128">
        <f>$K$8</f>
        <v>5.1509999999999998</v>
      </c>
      <c r="F28" s="128">
        <f>($A28)/($J$9)</f>
        <v>27031.2335670924</v>
      </c>
      <c r="G28" s="128">
        <f>$K$9</f>
        <v>0.98750000000000004</v>
      </c>
      <c r="H28" s="128">
        <f>($A28)/($J$10)</f>
        <v>2703123.3567092405</v>
      </c>
      <c r="I28" s="128">
        <f>$K$10</f>
        <v>8.6859999999999997E-4</v>
      </c>
      <c r="J28" s="128">
        <f>($A28)/($J$11)</f>
        <v>2703123.3567092405</v>
      </c>
      <c r="K28" s="128">
        <f>$K$11</f>
        <v>2.2910000000000002E-6</v>
      </c>
      <c r="L28" s="128">
        <f>($A28)/($J$12)</f>
        <v>7723.2095905978304</v>
      </c>
      <c r="M28" s="128">
        <f>$K$12</f>
        <v>2.3199999999999998</v>
      </c>
      <c r="N28" s="128">
        <f>($A28)/($J$15)</f>
        <v>27031.2335670924</v>
      </c>
      <c r="O28" s="128">
        <f>$K$15</f>
        <v>0.23599999999999999</v>
      </c>
      <c r="P28" s="128">
        <f>($A28)/($J$16)</f>
        <v>27031233.5670924</v>
      </c>
      <c r="Q28" s="129">
        <f>$K$16</f>
        <v>1.2579999999999999E-4</v>
      </c>
      <c r="R28" s="133">
        <f>($A28)/($J$17)</f>
        <v>27031233.5670924</v>
      </c>
      <c r="S28" s="128">
        <f>$K$17</f>
        <v>3.0409999999999999E-5</v>
      </c>
      <c r="T28" s="128">
        <f>($A28)/($J$18)</f>
        <v>8134.3989900972501</v>
      </c>
      <c r="U28" s="132">
        <f>$K$18</f>
        <v>5.8599999999999999E-2</v>
      </c>
      <c r="V28" s="128">
        <f>($A28)/($J$13)</f>
        <v>8009.2543902495991</v>
      </c>
      <c r="W28" s="132">
        <f>$K$13</f>
        <v>0</v>
      </c>
      <c r="X28" s="128">
        <f>($A28)/($J$14)</f>
        <v>77232.095905978291</v>
      </c>
      <c r="Y28" s="132">
        <f>$K$14</f>
        <v>0</v>
      </c>
      <c r="Z28" s="78"/>
      <c r="AA28" s="78"/>
      <c r="AB28" s="78"/>
      <c r="AC28" s="78"/>
    </row>
    <row r="29" spans="1:31" x14ac:dyDescent="0.25">
      <c r="A29" s="76">
        <v>100</v>
      </c>
      <c r="B29" s="128">
        <f>($A29)/($L$7)</f>
        <v>43249.973707347839</v>
      </c>
      <c r="C29" s="129">
        <f>$M$7</f>
        <v>3.0999999999999999E-3</v>
      </c>
      <c r="D29" s="133">
        <f>($A29)/($L$8)</f>
        <v>5766.6631609797114</v>
      </c>
      <c r="E29" s="128">
        <f>$M$8</f>
        <v>14.15</v>
      </c>
      <c r="F29" s="128">
        <f>($A29)/($L$9)</f>
        <v>4324.9973707347835</v>
      </c>
      <c r="G29" s="128">
        <f>$M$9</f>
        <v>2.0539999999999998</v>
      </c>
      <c r="H29" s="128">
        <f>($A29)/($L$10)</f>
        <v>432499.73707347846</v>
      </c>
      <c r="I29" s="128">
        <f>$M$10</f>
        <v>4.1079999999999997E-3</v>
      </c>
      <c r="J29" s="128">
        <f>($A29)/($L$11)</f>
        <v>432499.73707347846</v>
      </c>
      <c r="K29" s="128">
        <f>$M$11</f>
        <v>1.111E-5</v>
      </c>
      <c r="L29" s="128">
        <f>($A29)/($L$12)</f>
        <v>1235.7135344956528</v>
      </c>
      <c r="M29" s="128">
        <f>$M$12</f>
        <v>7.2</v>
      </c>
      <c r="N29" s="128">
        <f>($A29)/($L$15)</f>
        <v>4324.9973707347835</v>
      </c>
      <c r="O29" s="128">
        <f>$M$15</f>
        <v>0.52810000000000001</v>
      </c>
      <c r="P29" s="128">
        <f>($A29)/($L$16)</f>
        <v>4324997.3707347838</v>
      </c>
      <c r="Q29" s="129">
        <f>$M$16</f>
        <v>1.15E-4</v>
      </c>
      <c r="R29" s="133">
        <f>($A29)/($L$17)</f>
        <v>4324997.3707347838</v>
      </c>
      <c r="S29" s="128">
        <f>$M$17</f>
        <v>2.7800000000000001E-5</v>
      </c>
      <c r="T29" s="128">
        <f>($A29)/($L$18)</f>
        <v>1301.50383841556</v>
      </c>
      <c r="U29" s="132">
        <f>$M$18</f>
        <v>0.14000000000000001</v>
      </c>
      <c r="V29" s="128">
        <f>($A29)/($L$13)</f>
        <v>1281.4807024399358</v>
      </c>
      <c r="W29" s="132">
        <f>$M$13</f>
        <v>0</v>
      </c>
      <c r="X29" s="128">
        <f>($A29)/($L$14)</f>
        <v>12357.135344956527</v>
      </c>
      <c r="Y29" s="132">
        <f>$M$14</f>
        <v>0</v>
      </c>
      <c r="Z29" s="78"/>
      <c r="AA29" s="78"/>
      <c r="AB29" s="78"/>
      <c r="AC29" s="78"/>
    </row>
    <row r="30" spans="1:31" x14ac:dyDescent="0.25">
      <c r="A30" s="76">
        <v>25</v>
      </c>
      <c r="B30" s="128">
        <f>($A30)/($N$7)</f>
        <v>2703.1233567092399</v>
      </c>
      <c r="C30" s="129">
        <f>$O$7</f>
        <v>6.2500000000000003E-3</v>
      </c>
      <c r="D30" s="133">
        <f>($A30)/($N$8)</f>
        <v>360.41644756123196</v>
      </c>
      <c r="E30" s="128">
        <f>$O$8</f>
        <v>16.41</v>
      </c>
      <c r="F30" s="128">
        <f>($A30)/($N$9)</f>
        <v>270.31233567092397</v>
      </c>
      <c r="G30" s="128">
        <f>$O$9</f>
        <v>5.2460000000000004</v>
      </c>
      <c r="H30" s="128">
        <f>($A30)/($N$10)</f>
        <v>27031.233567092404</v>
      </c>
      <c r="I30" s="128">
        <f>$O$10</f>
        <v>3.524E-2</v>
      </c>
      <c r="J30" s="128">
        <f>($A30)/($N$11)</f>
        <v>27031.233567092404</v>
      </c>
      <c r="K30" s="128">
        <f>$O$11</f>
        <v>1.305E-4</v>
      </c>
      <c r="L30" s="128">
        <f>($A30)/($N$12)</f>
        <v>77.232095905978298</v>
      </c>
      <c r="M30" s="128">
        <f>$O$12</f>
        <v>14.9</v>
      </c>
      <c r="N30" s="128">
        <f>($A30)/($N$15)</f>
        <v>270.31233567092397</v>
      </c>
      <c r="O30" s="128">
        <f>$O$15</f>
        <v>1.1559999999999999</v>
      </c>
      <c r="P30" s="128">
        <f>($A30)/($N$16)</f>
        <v>270312.33567092399</v>
      </c>
      <c r="Q30" s="129">
        <f>$O$16</f>
        <v>1.997E-4</v>
      </c>
      <c r="R30" s="133">
        <f>($A30)/($N$17)</f>
        <v>270312.33567092399</v>
      </c>
      <c r="S30" s="128">
        <f>$O$17</f>
        <v>2.764E-5</v>
      </c>
      <c r="T30" s="128">
        <f>($A30)/($N$18)</f>
        <v>81.343989900972502</v>
      </c>
      <c r="U30" s="132">
        <f>$O$18</f>
        <v>1.18</v>
      </c>
      <c r="V30" s="128">
        <f>($A30)/($N$13)</f>
        <v>80.09254390249599</v>
      </c>
      <c r="W30" s="132">
        <f>$O$13</f>
        <v>0</v>
      </c>
      <c r="X30" s="128">
        <f>($A30)/($N$14)</f>
        <v>772.32095905978292</v>
      </c>
      <c r="Y30" s="132">
        <f>$O$14</f>
        <v>0</v>
      </c>
      <c r="Z30" s="78"/>
      <c r="AA30" s="78"/>
      <c r="AB30" s="78"/>
      <c r="AC30" s="78"/>
    </row>
    <row r="31" spans="1:31" x14ac:dyDescent="0.25">
      <c r="A31" s="76">
        <v>20</v>
      </c>
      <c r="B31" s="128">
        <f>($A31)/($P$7)</f>
        <v>1729.9989482939136</v>
      </c>
      <c r="C31" s="129">
        <f>($Q$7)</f>
        <v>6.7200000000000003E-3</v>
      </c>
      <c r="D31" s="133">
        <f>($A31)/($P$8)</f>
        <v>230.66652643918846</v>
      </c>
      <c r="E31" s="128">
        <f>($Q$8)</f>
        <v>16.52</v>
      </c>
      <c r="F31" s="128">
        <f>($A31)/($P$9)</f>
        <v>172.99989482939137</v>
      </c>
      <c r="G31" s="128">
        <f>($Q$9)</f>
        <v>5.9139999999999997</v>
      </c>
      <c r="H31" s="128">
        <f>($A31)/($P$10)</f>
        <v>17299.989482939134</v>
      </c>
      <c r="I31" s="128">
        <f>($Q$10)</f>
        <v>4.8309999999999999E-2</v>
      </c>
      <c r="J31" s="128">
        <f>($A31)/($P$11)</f>
        <v>17299.989482939134</v>
      </c>
      <c r="K31" s="128">
        <f>($Q$11)</f>
        <v>1.9220000000000001E-4</v>
      </c>
      <c r="L31" s="128">
        <f>($A31)/($P$12)</f>
        <v>49.428541379826115</v>
      </c>
      <c r="M31" s="128">
        <f>($Q$12)</f>
        <v>15</v>
      </c>
      <c r="N31" s="128">
        <f>($A31)/($P$15)</f>
        <v>172.99989482939137</v>
      </c>
      <c r="O31" s="128">
        <f>($Q$15)</f>
        <v>1.262</v>
      </c>
      <c r="P31" s="128">
        <f>($A31)/($P$16)</f>
        <v>172999.89482939136</v>
      </c>
      <c r="Q31" s="129">
        <f>($Q$16)</f>
        <v>2.377E-4</v>
      </c>
      <c r="R31" s="133">
        <f>($A31)/($P$17)</f>
        <v>172999.89482939136</v>
      </c>
      <c r="S31" s="128">
        <f>($Q$17)</f>
        <v>2.762E-5</v>
      </c>
      <c r="T31" s="128">
        <f>($A31)/($P$18)</f>
        <v>52.060153536622408</v>
      </c>
      <c r="U31" s="132">
        <f>($Q$18)</f>
        <v>1.66</v>
      </c>
      <c r="V31" s="128">
        <f>($A31)/($P$13)</f>
        <v>51.259228097597436</v>
      </c>
      <c r="W31" s="132">
        <f>($Q$13)</f>
        <v>0</v>
      </c>
      <c r="X31" s="128">
        <f>($A31)/($P$14)</f>
        <v>494.285413798261</v>
      </c>
      <c r="Y31" s="132">
        <f>($Q$14)</f>
        <v>0</v>
      </c>
      <c r="Z31" s="78"/>
      <c r="AA31" s="78"/>
      <c r="AB31" s="78"/>
      <c r="AC31" s="78"/>
    </row>
    <row r="32" spans="1:31" x14ac:dyDescent="0.25">
      <c r="A32" s="76">
        <v>10</v>
      </c>
      <c r="B32" s="128">
        <f>($A32)/($R$7)</f>
        <v>432.4997370734784</v>
      </c>
      <c r="C32" s="129">
        <f>($S$7)</f>
        <v>7.7999999999999996E-3</v>
      </c>
      <c r="D32" s="133">
        <f>($A32)/($R$8)</f>
        <v>57.666631609797115</v>
      </c>
      <c r="E32" s="128">
        <f>($S$8)</f>
        <v>15.63</v>
      </c>
      <c r="F32" s="128">
        <f>($A32)/($R$9)</f>
        <v>43.249973707347841</v>
      </c>
      <c r="G32" s="128">
        <f>($S$9)</f>
        <v>6.492</v>
      </c>
      <c r="H32" s="128">
        <f>($A32)/($R$10)</f>
        <v>4324.9973707347835</v>
      </c>
      <c r="I32" s="128">
        <f>($S$10)</f>
        <v>9.2090000000000005E-2</v>
      </c>
      <c r="J32" s="128">
        <f>($A32)/($R$11)</f>
        <v>4324.9973707347835</v>
      </c>
      <c r="K32" s="128">
        <f>($S$11)</f>
        <v>4.593E-4</v>
      </c>
      <c r="L32" s="128">
        <f>($A32)/($R$12)</f>
        <v>12.357135344956529</v>
      </c>
      <c r="M32" s="128">
        <f>($S$12)</f>
        <v>13</v>
      </c>
      <c r="N32" s="128">
        <f>($A32)/($R$15)</f>
        <v>43.249973707347841</v>
      </c>
      <c r="O32" s="128">
        <f>($S$15)</f>
        <v>1.266</v>
      </c>
      <c r="P32" s="128">
        <f>($A32)/($R$16)</f>
        <v>43249.973707347839</v>
      </c>
      <c r="Q32" s="129">
        <f>($S$16)</f>
        <v>4.8890000000000001E-4</v>
      </c>
      <c r="R32" s="133">
        <f>($A32)/($R$17)</f>
        <v>43249.973707347839</v>
      </c>
      <c r="S32" s="128">
        <f>($S$17)</f>
        <v>2.76E-5</v>
      </c>
      <c r="T32" s="128">
        <f>($A32)/($R$18)</f>
        <v>13.015038384155602</v>
      </c>
      <c r="U32" s="132">
        <f>($S$18)</f>
        <v>4.4400000000000004</v>
      </c>
      <c r="V32" s="128">
        <f>($A32)/($R$13)</f>
        <v>12.814807024399359</v>
      </c>
      <c r="W32" s="132">
        <f>($S$13)</f>
        <v>0</v>
      </c>
      <c r="X32" s="128">
        <f>($A32)/($R$14)</f>
        <v>123.57135344956525</v>
      </c>
      <c r="Y32" s="132">
        <f>($S$14)</f>
        <v>0</v>
      </c>
      <c r="Z32" s="4"/>
      <c r="AA32" s="4"/>
      <c r="AB32" s="4"/>
      <c r="AC32" s="4"/>
    </row>
    <row r="33" spans="1:29" x14ac:dyDescent="0.25">
      <c r="A33" s="73">
        <v>5</v>
      </c>
      <c r="B33" s="128">
        <f>($A33)/($T$7)</f>
        <v>108.1249342683696</v>
      </c>
      <c r="C33" s="129">
        <f>($U$7)</f>
        <v>8.3000000000000001E-3</v>
      </c>
      <c r="D33" s="133">
        <f>($A33)/($T$8)</f>
        <v>14.416657902449279</v>
      </c>
      <c r="E33" s="128">
        <f>($U$8)</f>
        <v>11.64</v>
      </c>
      <c r="F33" s="128">
        <f>($A33)/($T$9)</f>
        <v>10.81249342683696</v>
      </c>
      <c r="G33" s="128">
        <f>($U$9)</f>
        <v>5.0860000000000003</v>
      </c>
      <c r="H33" s="128">
        <f>($A33)/($T$10)</f>
        <v>1081.2493426836959</v>
      </c>
      <c r="I33" s="128">
        <f>($U$10)</f>
        <v>0.1371</v>
      </c>
      <c r="J33" s="128">
        <f>($A33)/($T$11)</f>
        <v>1081.2493426836959</v>
      </c>
      <c r="K33" s="128">
        <f>($U$11)</f>
        <v>8.9800000000000004E-4</v>
      </c>
      <c r="L33" s="128">
        <f>($A33)/($T$12)</f>
        <v>3.0892838362391322</v>
      </c>
      <c r="M33" s="128">
        <f>($U$12)</f>
        <v>8.8699999999999992</v>
      </c>
      <c r="N33" s="128">
        <f>($A33)/($T$15)</f>
        <v>10.81249342683696</v>
      </c>
      <c r="O33" s="128">
        <f>($U$15)</f>
        <v>0.94730000000000003</v>
      </c>
      <c r="P33" s="128">
        <f>($A33)/($T$16)</f>
        <v>10812.49342683696</v>
      </c>
      <c r="Q33" s="129">
        <f>($U$16)</f>
        <v>1.1950000000000001E-3</v>
      </c>
      <c r="R33" s="133">
        <f>($A33)/($T$17)</f>
        <v>10812.49342683696</v>
      </c>
      <c r="S33" s="128">
        <f>($U$17)</f>
        <v>2.3940000000000001E-5</v>
      </c>
      <c r="T33" s="128">
        <f>($A33)/($T$18)</f>
        <v>3.2537595960389005</v>
      </c>
      <c r="U33" s="132">
        <f>($U$18)</f>
        <v>9.68</v>
      </c>
      <c r="V33" s="128">
        <f>($A33)/($T$13)</f>
        <v>3.2037017560998398</v>
      </c>
      <c r="W33" s="132">
        <f>($U$13)</f>
        <v>0</v>
      </c>
      <c r="X33" s="128">
        <f>($A33)/($T$14)</f>
        <v>30.892838362391313</v>
      </c>
      <c r="Y33" s="132">
        <f>($U$14)</f>
        <v>0</v>
      </c>
      <c r="Z33" s="4"/>
      <c r="AA33" s="4"/>
      <c r="AB33" s="4"/>
      <c r="AC33" s="4"/>
    </row>
    <row r="34" spans="1:29" x14ac:dyDescent="0.25">
      <c r="A34" s="73">
        <v>1</v>
      </c>
      <c r="B34" s="128">
        <f>($A34)/($V$7)</f>
        <v>4.324997370734784</v>
      </c>
      <c r="C34" s="129">
        <f>($W$7)</f>
        <v>8.1700000000000002E-3</v>
      </c>
      <c r="D34" s="133">
        <f>($A34)/($V$8)</f>
        <v>0.57666631609797114</v>
      </c>
      <c r="E34" s="128">
        <f>($W$8)</f>
        <v>3.6539999999999999</v>
      </c>
      <c r="F34" s="128">
        <f>($A34)/($V$9)</f>
        <v>0.43249973707347839</v>
      </c>
      <c r="G34" s="128">
        <f>($W$9)</f>
        <v>1.722</v>
      </c>
      <c r="H34" s="128">
        <f>($A34)/($V$10)</f>
        <v>43.249973707347841</v>
      </c>
      <c r="I34" s="128">
        <f>($W$10)</f>
        <v>0.19750000000000001</v>
      </c>
      <c r="J34" s="128">
        <f>($A34)/($V$11)</f>
        <v>43.249973707347841</v>
      </c>
      <c r="K34" s="128">
        <f>($W$11)</f>
        <v>3.7060000000000001E-3</v>
      </c>
      <c r="L34" s="128">
        <f>($A34)/($V$12)</f>
        <v>0.12357135344956528</v>
      </c>
      <c r="M34" s="128">
        <f>($W$12)</f>
        <v>3</v>
      </c>
      <c r="N34" s="128">
        <f>($A34)/($V$15)</f>
        <v>0.43249973707347839</v>
      </c>
      <c r="O34" s="128">
        <f>($W$15)</f>
        <v>0.37119999999999997</v>
      </c>
      <c r="P34" s="128">
        <f>($A34)/($V$16)</f>
        <v>432.4997370734784</v>
      </c>
      <c r="Q34" s="129">
        <f>($W$16)</f>
        <v>8.3140000000000002E-3</v>
      </c>
      <c r="R34" s="133">
        <f>($A34)/($V$17)</f>
        <v>432.4997370734784</v>
      </c>
      <c r="S34" s="128">
        <f>($W$17)</f>
        <v>4.7869999999999998E-4</v>
      </c>
      <c r="T34" s="128">
        <f>($A34)/($V$18)</f>
        <v>0.130150383841556</v>
      </c>
      <c r="U34" s="132">
        <f>($W$18)</f>
        <v>24.4</v>
      </c>
      <c r="V34" s="128">
        <f>($A34)/($V$13)</f>
        <v>0.12814807024399358</v>
      </c>
      <c r="W34" s="132">
        <f>($W$13)</f>
        <v>0</v>
      </c>
      <c r="X34" s="128">
        <f>($A34)/($V$14)</f>
        <v>1.2357135344956527</v>
      </c>
      <c r="Y34" s="132">
        <f>($W$14)</f>
        <v>0</v>
      </c>
      <c r="Z34" s="4"/>
      <c r="AA34" s="4"/>
      <c r="AB34" s="4"/>
      <c r="AC34" s="4"/>
    </row>
    <row r="35" spans="1:29" x14ac:dyDescent="0.25">
      <c r="A35" s="73">
        <v>0.1</v>
      </c>
      <c r="B35" s="128">
        <f>($A35)/($X$7)</f>
        <v>4.3249973707347851E-2</v>
      </c>
      <c r="C35" s="129">
        <f>($Y$7)</f>
        <v>3.3300000000000001E-3</v>
      </c>
      <c r="D35" s="133">
        <f>($A35)/($X$8)</f>
        <v>5.7666631609797131E-3</v>
      </c>
      <c r="E35" s="128">
        <f>($Y$8)</f>
        <v>0.3695</v>
      </c>
      <c r="F35" s="128">
        <f>($A35)/($X$9)</f>
        <v>4.3249973707347837E-3</v>
      </c>
      <c r="G35" s="128">
        <f>($Y$9)</f>
        <v>0.18229999999999999</v>
      </c>
      <c r="H35" s="128">
        <f>($A35)/($X$10)</f>
        <v>0.4324997370734785</v>
      </c>
      <c r="I35" s="128">
        <f>($Y$10)</f>
        <v>0.13569999999999999</v>
      </c>
      <c r="J35" s="128">
        <f>($A35)/($X$11)</f>
        <v>0.4324997370734785</v>
      </c>
      <c r="K35" s="128">
        <f>($Y$11)</f>
        <v>2.1899999999999999E-2</v>
      </c>
      <c r="L35" s="128">
        <f>($A35)/($X$12)</f>
        <v>1.2357135344956531E-3</v>
      </c>
      <c r="M35" s="128">
        <f>($Y$12)</f>
        <v>0.39800000000000002</v>
      </c>
      <c r="N35" s="128">
        <f>($A35)/($X$15)</f>
        <v>4.3249973707347837E-3</v>
      </c>
      <c r="O35" s="128">
        <f>($Y$15)</f>
        <v>9.4579999999999997E-2</v>
      </c>
      <c r="P35" s="128">
        <f>($A35)/($X$16)</f>
        <v>4.3249973707347849</v>
      </c>
      <c r="Q35" s="129">
        <f>($Y$16)</f>
        <v>3.0499999999999999E-2</v>
      </c>
      <c r="R35" s="133">
        <f>($A35)/($X$17)</f>
        <v>4.3249973707347849</v>
      </c>
      <c r="S35" s="128">
        <f>($Y$17)</f>
        <v>9.7109999999999991E-3</v>
      </c>
      <c r="T35" s="128">
        <f>($A35)/($X$18)</f>
        <v>1.3015038384155601E-3</v>
      </c>
      <c r="U35" s="132">
        <f>($Y$18)</f>
        <v>4.8899999999999997</v>
      </c>
      <c r="V35" s="128">
        <f>($A35)/($X$13)</f>
        <v>1.2814807024399361E-3</v>
      </c>
      <c r="W35" s="132">
        <f>($Y$13)</f>
        <v>0</v>
      </c>
      <c r="X35" s="128">
        <f>($A35)/($X$14)</f>
        <v>1.2357135344956529E-2</v>
      </c>
      <c r="Y35" s="132">
        <f>($Y$14)</f>
        <v>0</v>
      </c>
      <c r="Z35" s="4"/>
      <c r="AA35" s="4"/>
      <c r="AB35" s="4"/>
      <c r="AC35" s="4"/>
    </row>
    <row r="36" spans="1:29" x14ac:dyDescent="0.25">
      <c r="A36" s="73">
        <v>0.01</v>
      </c>
      <c r="B36" s="128">
        <f>($A36)/($Z$7)</f>
        <v>4.324997370734784E-4</v>
      </c>
      <c r="C36" s="129">
        <f>($AA$7)</f>
        <v>1.1900000000000001E-3</v>
      </c>
      <c r="D36" s="133">
        <f>($A36)/($Z$8)</f>
        <v>5.7666631609797117E-5</v>
      </c>
      <c r="E36" s="128">
        <f>($AA$8)</f>
        <v>3.8199999999999998E-2</v>
      </c>
      <c r="F36" s="128">
        <f>($A36)/($Z$9)</f>
        <v>4.3249973707347843E-5</v>
      </c>
      <c r="G36" s="128">
        <f>($AA$9)</f>
        <v>2.5649999999999999E-2</v>
      </c>
      <c r="H36" s="128">
        <f>($A36)/($Z$10)</f>
        <v>4.3249973707347846E-3</v>
      </c>
      <c r="I36" s="128">
        <f>($AA$10)</f>
        <v>2.7439999999999999E-2</v>
      </c>
      <c r="J36" s="128">
        <f>($A36)/($Z$11)</f>
        <v>4.3249973707347846E-3</v>
      </c>
      <c r="K36" s="128">
        <f>($AA$11)</f>
        <v>1.993E-2</v>
      </c>
      <c r="L36" s="128">
        <f>($A36)/($Z$12)</f>
        <v>1.2357135344956529E-5</v>
      </c>
      <c r="M36" s="128">
        <f>($AA$12)</f>
        <v>0.115</v>
      </c>
      <c r="N36" s="128">
        <f>($A36)/($Z$15)</f>
        <v>4.3249973707347843E-5</v>
      </c>
      <c r="O36" s="128">
        <f>($AA$15)</f>
        <v>5.3920000000000003E-2</v>
      </c>
      <c r="P36" s="128">
        <f>($A36)/($Z$16)</f>
        <v>4.3249973707347844E-2</v>
      </c>
      <c r="Q36" s="129">
        <f>($AA$16)</f>
        <v>6.6119999999999998E-2</v>
      </c>
      <c r="R36" s="133">
        <f>($A36)/($Z$17)</f>
        <v>4.3249973707347844E-2</v>
      </c>
      <c r="S36" s="128">
        <f>($AA$17)</f>
        <v>5.629E-2</v>
      </c>
      <c r="T36" s="128">
        <f>($A36)/($Z$18)</f>
        <v>1.3015038384155602E-5</v>
      </c>
      <c r="U36" s="132">
        <f>($AA$18)</f>
        <v>0.499</v>
      </c>
      <c r="V36" s="128">
        <f>($A36)/($Z$13)</f>
        <v>1.2814807024399359E-5</v>
      </c>
      <c r="W36" s="132">
        <f>($AA$13)</f>
        <v>0</v>
      </c>
      <c r="X36" s="128">
        <f>($A36)/($Z$14)</f>
        <v>1.2357135344956527E-4</v>
      </c>
      <c r="Y36" s="132">
        <f>($AA$14)</f>
        <v>0</v>
      </c>
    </row>
    <row r="37" spans="1:29" ht="15.75" thickBot="1" x14ac:dyDescent="0.3">
      <c r="A37" s="73">
        <v>1E-3</v>
      </c>
      <c r="B37" s="134">
        <f>($A37)/($AB$7)</f>
        <v>4.3249973707347846E-6</v>
      </c>
      <c r="C37" s="135">
        <f>($AC$7)</f>
        <v>7.85E-4</v>
      </c>
      <c r="D37" s="136">
        <f>($A37)/($AB$8)</f>
        <v>5.7666631609797113E-7</v>
      </c>
      <c r="E37" s="134">
        <f>($AC$8)</f>
        <v>4.744E-3</v>
      </c>
      <c r="F37" s="134">
        <f>($A37)/($AB$9)</f>
        <v>4.3249973707347845E-7</v>
      </c>
      <c r="G37" s="134">
        <f>($AC$9)</f>
        <v>8.4259999999999995E-3</v>
      </c>
      <c r="H37" s="134">
        <f>($A37)/($AB$10)</f>
        <v>4.3249973707347843E-5</v>
      </c>
      <c r="I37" s="134">
        <f>($AC$10)</f>
        <v>1.1180000000000001E-2</v>
      </c>
      <c r="J37" s="134">
        <f>($A37)/($AB$11)</f>
        <v>4.3249973707347843E-5</v>
      </c>
      <c r="K37" s="134">
        <f>($AC$11)</f>
        <v>1.231E-2</v>
      </c>
      <c r="L37" s="134">
        <f>($A37)/($AB$12)</f>
        <v>1.235713534495653E-7</v>
      </c>
      <c r="M37" s="134">
        <f>($AC$12)</f>
        <v>6.9500000000000006E-2</v>
      </c>
      <c r="N37" s="134">
        <f>($A37)/($AB$15)</f>
        <v>4.3249973707347845E-7</v>
      </c>
      <c r="O37" s="134">
        <f>($AC$15)</f>
        <v>3.977E-2</v>
      </c>
      <c r="P37" s="134">
        <f>($A37)/($AB$16)</f>
        <v>4.324997370734784E-4</v>
      </c>
      <c r="Q37" s="135">
        <f>($AC$16)</f>
        <v>4.2610000000000002E-2</v>
      </c>
      <c r="R37" s="136">
        <f>($A37)/($AB$17)</f>
        <v>4.324997370734784E-4</v>
      </c>
      <c r="S37" s="134">
        <f>($AC$17)</f>
        <v>4.4089999999999997E-2</v>
      </c>
      <c r="T37" s="134">
        <f>($A37)/($AB$18)</f>
        <v>1.3015038384155603E-7</v>
      </c>
      <c r="U37" s="137">
        <f>($AC$18)</f>
        <v>5.0099999999999999E-2</v>
      </c>
      <c r="V37" s="134">
        <f>($A37)/($AB$13)</f>
        <v>1.2814807024399359E-7</v>
      </c>
      <c r="W37" s="137">
        <f>($AC$13)</f>
        <v>0</v>
      </c>
      <c r="X37" s="134">
        <f>($A37)/($AB$14)</f>
        <v>1.2357135344956528E-6</v>
      </c>
      <c r="Y37" s="137">
        <f>($AC$14)</f>
        <v>0</v>
      </c>
    </row>
    <row r="38" spans="1:29" ht="15.75" customHeight="1" thickBot="1" x14ac:dyDescent="0.3">
      <c r="A38" s="449" t="s">
        <v>24</v>
      </c>
      <c r="B38" s="5"/>
      <c r="C38" s="4"/>
      <c r="D38" s="5"/>
      <c r="E38" s="4"/>
      <c r="P38" s="134">
        <f>(0.0001)/($AD$16)</f>
        <v>4.3249973707347838E-6</v>
      </c>
      <c r="Q38" s="135">
        <f>($AE$16)</f>
        <v>5.5300000000000002E-2</v>
      </c>
      <c r="R38" s="136">
        <f>(0.0001)/($AD$17)</f>
        <v>4.3249973707347838E-6</v>
      </c>
      <c r="S38" s="134">
        <f>($AE$17)</f>
        <v>3.4099999999999998E-2</v>
      </c>
    </row>
    <row r="39" spans="1:29" x14ac:dyDescent="0.25">
      <c r="A39" s="449"/>
    </row>
    <row r="41" spans="1:29" x14ac:dyDescent="0.25">
      <c r="B41" s="77"/>
    </row>
    <row r="42" spans="1:29" x14ac:dyDescent="0.25">
      <c r="B42" s="77"/>
    </row>
    <row r="43" spans="1:29" x14ac:dyDescent="0.25">
      <c r="B43" s="77"/>
    </row>
    <row r="44" spans="1:29" x14ac:dyDescent="0.25">
      <c r="B44" s="77"/>
    </row>
    <row r="45" spans="1:29" x14ac:dyDescent="0.25">
      <c r="B45" s="77"/>
    </row>
    <row r="69" spans="4:9" x14ac:dyDescent="0.25">
      <c r="D69" s="76"/>
      <c r="G69" s="76"/>
      <c r="H69" s="76"/>
      <c r="I69" s="76"/>
    </row>
  </sheetData>
  <mergeCells count="18">
    <mergeCell ref="A3:N3"/>
    <mergeCell ref="T23:U23"/>
    <mergeCell ref="J23:K23"/>
    <mergeCell ref="L23:M23"/>
    <mergeCell ref="N23:O23"/>
    <mergeCell ref="P23:Q23"/>
    <mergeCell ref="R23:S23"/>
    <mergeCell ref="A21:H21"/>
    <mergeCell ref="B23:C23"/>
    <mergeCell ref="D23:E23"/>
    <mergeCell ref="F23:G23"/>
    <mergeCell ref="H23:I23"/>
    <mergeCell ref="AD9:AD15"/>
    <mergeCell ref="AE9:AE15"/>
    <mergeCell ref="A38:A39"/>
    <mergeCell ref="F4:O4"/>
    <mergeCell ref="V23:W23"/>
    <mergeCell ref="X23:Y2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E69"/>
  <sheetViews>
    <sheetView topLeftCell="A82" workbookViewId="0">
      <selection sqref="A1:XFD1"/>
    </sheetView>
  </sheetViews>
  <sheetFormatPr defaultRowHeight="15" x14ac:dyDescent="0.25"/>
  <cols>
    <col min="1" max="1" width="15" bestFit="1" customWidth="1"/>
    <col min="2" max="2" width="16.42578125" customWidth="1"/>
    <col min="3" max="3" width="14.42578125" customWidth="1"/>
    <col min="4" max="4" width="11.140625" customWidth="1"/>
    <col min="5" max="5" width="10.5703125" customWidth="1"/>
    <col min="6" max="6" width="12.7109375" customWidth="1"/>
    <col min="7" max="7" width="12.28515625" customWidth="1"/>
    <col min="8" max="8" width="18.28515625" customWidth="1"/>
    <col min="9" max="9" width="15" bestFit="1" customWidth="1"/>
    <col min="10" max="10" width="17.7109375" bestFit="1" customWidth="1"/>
    <col min="11" max="11" width="11" customWidth="1"/>
    <col min="12" max="13" width="17.5703125" customWidth="1"/>
    <col min="14" max="14" width="19.85546875" customWidth="1"/>
    <col min="15" max="29" width="16.140625" customWidth="1"/>
    <col min="30" max="30" width="16.5703125" customWidth="1"/>
    <col min="31" max="31" width="13" customWidth="1"/>
  </cols>
  <sheetData>
    <row r="2" spans="1:31" ht="15.75" thickBot="1" x14ac:dyDescent="0.3"/>
    <row r="3" spans="1:31" ht="15.75" thickBot="1" x14ac:dyDescent="0.3">
      <c r="A3" s="410"/>
      <c r="B3" s="411"/>
      <c r="C3" s="411"/>
      <c r="D3" s="411"/>
      <c r="E3" s="411"/>
      <c r="F3" s="411"/>
      <c r="G3" s="411"/>
      <c r="H3" s="411"/>
      <c r="I3" s="411"/>
      <c r="J3" s="411"/>
      <c r="K3" s="411"/>
      <c r="L3" s="411"/>
      <c r="M3" s="411"/>
      <c r="N3" s="412"/>
      <c r="O3" s="124"/>
      <c r="P3" s="124"/>
      <c r="Q3" s="124"/>
      <c r="R3" s="124"/>
      <c r="S3" s="124"/>
      <c r="T3" s="124"/>
      <c r="U3" s="124"/>
      <c r="V3" s="124"/>
      <c r="W3" s="124"/>
      <c r="X3" s="124"/>
      <c r="Y3" s="124"/>
      <c r="Z3" s="124"/>
      <c r="AA3" s="124"/>
      <c r="AB3" s="124"/>
      <c r="AC3" s="124"/>
      <c r="AD3" s="124"/>
    </row>
    <row r="4" spans="1:31" ht="15.75" customHeight="1" thickBot="1" x14ac:dyDescent="0.3">
      <c r="A4" s="35"/>
      <c r="B4" s="36"/>
      <c r="C4" s="36"/>
      <c r="D4" s="148"/>
      <c r="E4" s="37"/>
      <c r="F4" s="425" t="s">
        <v>116</v>
      </c>
      <c r="G4" s="426"/>
      <c r="H4" s="426"/>
      <c r="I4" s="426"/>
      <c r="J4" s="426"/>
      <c r="K4" s="426"/>
      <c r="L4" s="426"/>
      <c r="M4" s="426"/>
      <c r="N4" s="426"/>
      <c r="O4" s="426"/>
      <c r="P4" s="71"/>
      <c r="Q4" s="71"/>
      <c r="R4" s="71"/>
      <c r="S4" s="71"/>
      <c r="T4" s="71"/>
      <c r="U4" s="72"/>
      <c r="X4" s="33"/>
      <c r="Y4" s="33"/>
      <c r="Z4" s="33"/>
      <c r="AA4" s="33"/>
      <c r="AB4" s="33"/>
      <c r="AC4" s="33"/>
      <c r="AD4" s="33"/>
    </row>
    <row r="5" spans="1:31" ht="63" thickBot="1" x14ac:dyDescent="0.3">
      <c r="A5" s="352" t="s">
        <v>150</v>
      </c>
      <c r="B5" s="353" t="s">
        <v>224</v>
      </c>
      <c r="C5" s="353" t="s">
        <v>225</v>
      </c>
      <c r="D5" s="353" t="s">
        <v>226</v>
      </c>
      <c r="E5" s="16" t="s">
        <v>227</v>
      </c>
      <c r="F5" s="20" t="s">
        <v>16</v>
      </c>
      <c r="G5" s="72" t="s">
        <v>15</v>
      </c>
      <c r="H5" s="84" t="s">
        <v>33</v>
      </c>
      <c r="I5" s="84" t="s">
        <v>37</v>
      </c>
      <c r="J5" s="15" t="s">
        <v>34</v>
      </c>
      <c r="K5" s="86" t="s">
        <v>38</v>
      </c>
      <c r="L5" s="100" t="s">
        <v>35</v>
      </c>
      <c r="M5" s="84" t="s">
        <v>39</v>
      </c>
      <c r="N5" s="90" t="s">
        <v>36</v>
      </c>
      <c r="O5" s="86" t="s">
        <v>40</v>
      </c>
      <c r="P5" s="100" t="s">
        <v>41</v>
      </c>
      <c r="Q5" s="84" t="s">
        <v>42</v>
      </c>
      <c r="R5" s="15" t="s">
        <v>43</v>
      </c>
      <c r="S5" s="86" t="s">
        <v>44</v>
      </c>
      <c r="T5" s="84" t="s">
        <v>45</v>
      </c>
      <c r="U5" s="84" t="s">
        <v>46</v>
      </c>
      <c r="V5" s="90" t="s">
        <v>47</v>
      </c>
      <c r="W5" s="91" t="s">
        <v>48</v>
      </c>
      <c r="X5" s="84" t="s">
        <v>49</v>
      </c>
      <c r="Y5" s="84" t="s">
        <v>50</v>
      </c>
      <c r="Z5" s="90" t="s">
        <v>51</v>
      </c>
      <c r="AA5" s="91" t="s">
        <v>52</v>
      </c>
      <c r="AB5" s="84" t="s">
        <v>53</v>
      </c>
      <c r="AC5" s="84" t="s">
        <v>54</v>
      </c>
      <c r="AD5" s="33"/>
    </row>
    <row r="6" spans="1:31" x14ac:dyDescent="0.25">
      <c r="A6" s="2" t="s">
        <v>1</v>
      </c>
      <c r="B6" s="75">
        <v>16.5</v>
      </c>
      <c r="C6" s="75"/>
      <c r="D6" s="139">
        <v>10</v>
      </c>
      <c r="E6" s="138">
        <f t="shared" ref="E6:E18" si="0">(D6)*1000000</f>
        <v>10000000</v>
      </c>
      <c r="F6" s="17">
        <f>(((E6)/(B6))/1000)*2.20462</f>
        <v>1336.1333333333334</v>
      </c>
      <c r="G6" s="82">
        <f>(F6)/90</f>
        <v>14.845925925925927</v>
      </c>
      <c r="H6" s="94">
        <f>(($G6)*0.0283168)/500</f>
        <v>8.4077823051851859E-4</v>
      </c>
      <c r="I6" s="211"/>
      <c r="J6" s="94">
        <f>(($G6)*0.0283168)/250</f>
        <v>1.6815564610370372E-3</v>
      </c>
      <c r="K6" s="213"/>
      <c r="L6" s="94">
        <f>(($G6)*0.0283168)/100</f>
        <v>4.2038911525925935E-3</v>
      </c>
      <c r="M6" s="213"/>
      <c r="N6" s="94">
        <f>(($G6)*0.0283168)/25</f>
        <v>1.6815564610370374E-2</v>
      </c>
      <c r="O6" s="225"/>
      <c r="P6" s="94">
        <f>(($G6)*0.0283168)/20</f>
        <v>2.1019455762962966E-2</v>
      </c>
      <c r="Q6" s="215"/>
      <c r="R6" s="94">
        <f>(($G6)*0.0283168)/10</f>
        <v>4.2038911525925933E-2</v>
      </c>
      <c r="S6" s="221"/>
      <c r="T6" s="94">
        <f>(($G6)*0.0283168)/5</f>
        <v>8.4077823051851866E-2</v>
      </c>
      <c r="U6" s="219"/>
      <c r="V6" s="94">
        <f>(($G6)*0.0283168)/1</f>
        <v>0.42038911525925932</v>
      </c>
      <c r="W6" s="215"/>
      <c r="X6" s="102">
        <f>(($G6)*0.0283168)/0.1</f>
        <v>4.2038911525925933</v>
      </c>
      <c r="Y6" s="219"/>
      <c r="Z6" s="94">
        <f>(($G6)*0.0283168)/0.01</f>
        <v>42.038911525925933</v>
      </c>
      <c r="AA6" s="215"/>
      <c r="AB6" s="94">
        <f>(($G6)*0.0283168)/0.001</f>
        <v>420.38911525925931</v>
      </c>
      <c r="AC6" s="221"/>
      <c r="AD6" s="25"/>
    </row>
    <row r="7" spans="1:31" ht="15.75" thickBot="1" x14ac:dyDescent="0.3">
      <c r="A7" s="2" t="s">
        <v>2</v>
      </c>
      <c r="B7" s="75">
        <v>16.5</v>
      </c>
      <c r="C7" s="75"/>
      <c r="D7" s="140">
        <v>1</v>
      </c>
      <c r="E7" s="138">
        <f t="shared" si="0"/>
        <v>1000000</v>
      </c>
      <c r="F7" s="17">
        <f t="shared" ref="F7:F18" si="1">(((E7)/(B7))/1000)*2.20462</f>
        <v>133.61333333333332</v>
      </c>
      <c r="G7" s="82">
        <f t="shared" ref="G7:G18" si="2">(F7)/90</f>
        <v>1.4845925925925925</v>
      </c>
      <c r="H7" s="95">
        <f t="shared" ref="H7:H18" si="3">(($G7)*0.0283168)/500</f>
        <v>8.407782305185184E-5</v>
      </c>
      <c r="I7" s="211">
        <v>1.4579999999999999E-4</v>
      </c>
      <c r="J7" s="95">
        <f t="shared" ref="J7:J18" si="4">(($G7)*0.0283168)/250</f>
        <v>1.6815564610370368E-4</v>
      </c>
      <c r="K7" s="213">
        <v>2.4250000000000001E-4</v>
      </c>
      <c r="L7" s="95">
        <f t="shared" ref="L7:L18" si="5">(($G7)*0.0283168)/100</f>
        <v>4.2038911525925918E-4</v>
      </c>
      <c r="M7" s="213">
        <v>6.6879999999999999E-4</v>
      </c>
      <c r="N7" s="95">
        <f t="shared" ref="N7:N18" si="6">(($G7)*0.0283168)/25</f>
        <v>1.6815564610370367E-3</v>
      </c>
      <c r="O7" s="213">
        <v>2.9680000000000002E-3</v>
      </c>
      <c r="P7" s="95">
        <f t="shared" ref="P7:P18" si="7">(($G7)*0.0283168)/20</f>
        <v>2.1019455762962959E-3</v>
      </c>
      <c r="Q7" s="211">
        <v>3.6719999999999999E-3</v>
      </c>
      <c r="R7" s="95">
        <f t="shared" ref="R7:R18" si="8">(($G7)*0.0283168)/10</f>
        <v>4.2038911525925917E-3</v>
      </c>
      <c r="S7" s="222">
        <v>6.1130000000000004E-3</v>
      </c>
      <c r="T7" s="95">
        <f t="shared" ref="T7:T18" si="9">(($G7)*0.0283168)/5</f>
        <v>8.4077823051851835E-3</v>
      </c>
      <c r="U7" s="220">
        <v>8.3639999999999999E-3</v>
      </c>
      <c r="V7" s="95">
        <f t="shared" ref="V7:V18" si="10">(($G7)*0.0283168)/1</f>
        <v>4.2038911525925919E-2</v>
      </c>
      <c r="W7" s="211">
        <v>1.172E-2</v>
      </c>
      <c r="X7" s="102">
        <f t="shared" ref="X7:X18" si="11">(($G7)*0.0283168)/0.1</f>
        <v>0.42038911525925915</v>
      </c>
      <c r="Y7" s="220">
        <v>1.278E-2</v>
      </c>
      <c r="Z7" s="95">
        <f t="shared" ref="Z7:Z18" si="12">(($G7)*0.0283168)/0.01</f>
        <v>4.2038911525925915</v>
      </c>
      <c r="AA7" s="211">
        <v>6.5620000000000001E-3</v>
      </c>
      <c r="AB7" s="95">
        <f t="shared" ref="AB7:AB18" si="13">(($G7)*0.0283168)/0.001</f>
        <v>42.038911525925919</v>
      </c>
      <c r="AC7" s="222">
        <v>4.3150000000000003E-3</v>
      </c>
      <c r="AD7" s="25"/>
    </row>
    <row r="8" spans="1:31" ht="15" customHeight="1" x14ac:dyDescent="0.25">
      <c r="A8" s="2" t="s">
        <v>3</v>
      </c>
      <c r="B8" s="75">
        <v>16.5</v>
      </c>
      <c r="C8" s="75"/>
      <c r="D8" s="154">
        <v>7.5</v>
      </c>
      <c r="E8" s="138">
        <f t="shared" si="0"/>
        <v>7500000</v>
      </c>
      <c r="F8" s="17">
        <f t="shared" si="1"/>
        <v>1002.0999999999998</v>
      </c>
      <c r="G8" s="82">
        <f t="shared" si="2"/>
        <v>11.134444444444442</v>
      </c>
      <c r="H8" s="95">
        <f t="shared" si="3"/>
        <v>6.305836728888887E-4</v>
      </c>
      <c r="I8" s="101">
        <v>0.51570000000000005</v>
      </c>
      <c r="J8" s="95">
        <f t="shared" si="4"/>
        <v>1.2611673457777774E-3</v>
      </c>
      <c r="K8" s="153">
        <v>1.913</v>
      </c>
      <c r="L8" s="95">
        <f t="shared" si="5"/>
        <v>3.1529183644444436E-3</v>
      </c>
      <c r="M8" s="153">
        <v>8.9209999999999994</v>
      </c>
      <c r="N8" s="95">
        <f t="shared" si="6"/>
        <v>1.2611673457777774E-2</v>
      </c>
      <c r="O8" s="153">
        <v>17.27</v>
      </c>
      <c r="P8" s="95">
        <f t="shared" si="7"/>
        <v>1.5764591822222219E-2</v>
      </c>
      <c r="Q8" s="101">
        <v>18.59</v>
      </c>
      <c r="R8" s="95">
        <f t="shared" si="8"/>
        <v>3.1529183644444438E-2</v>
      </c>
      <c r="S8" s="88">
        <v>21.66</v>
      </c>
      <c r="T8" s="95">
        <f t="shared" si="9"/>
        <v>6.3058367288888875E-2</v>
      </c>
      <c r="U8" s="89">
        <v>23.62</v>
      </c>
      <c r="V8" s="95">
        <f t="shared" si="10"/>
        <v>0.31529183644444436</v>
      </c>
      <c r="W8" s="101">
        <v>16.02</v>
      </c>
      <c r="X8" s="102">
        <f t="shared" si="11"/>
        <v>3.1529183644444436</v>
      </c>
      <c r="Y8" s="89">
        <v>2.0299999999999998</v>
      </c>
      <c r="Z8" s="95">
        <f t="shared" si="12"/>
        <v>31.529183644444437</v>
      </c>
      <c r="AA8" s="101">
        <v>0.20979999999999999</v>
      </c>
      <c r="AB8" s="95">
        <f t="shared" si="13"/>
        <v>315.29183644444436</v>
      </c>
      <c r="AC8" s="88">
        <v>2.6100000000000002E-2</v>
      </c>
      <c r="AD8" s="455" t="s">
        <v>59</v>
      </c>
      <c r="AE8" s="455" t="s">
        <v>60</v>
      </c>
    </row>
    <row r="9" spans="1:31" x14ac:dyDescent="0.25">
      <c r="A9" s="2" t="s">
        <v>4</v>
      </c>
      <c r="B9" s="75">
        <v>16.5</v>
      </c>
      <c r="C9" s="75"/>
      <c r="D9" s="140">
        <v>10</v>
      </c>
      <c r="E9" s="138">
        <f t="shared" si="0"/>
        <v>10000000</v>
      </c>
      <c r="F9" s="17">
        <f t="shared" si="1"/>
        <v>1336.1333333333334</v>
      </c>
      <c r="G9" s="82">
        <f t="shared" si="2"/>
        <v>14.845925925925927</v>
      </c>
      <c r="H9" s="95">
        <f t="shared" si="3"/>
        <v>8.4077823051851859E-4</v>
      </c>
      <c r="I9" s="211">
        <v>0.1154</v>
      </c>
      <c r="J9" s="95">
        <f t="shared" si="4"/>
        <v>1.6815564610370372E-3</v>
      </c>
      <c r="K9" s="213">
        <v>0.39639999999999997</v>
      </c>
      <c r="L9" s="95">
        <f t="shared" si="5"/>
        <v>4.2038911525925935E-3</v>
      </c>
      <c r="M9" s="213">
        <v>1.518</v>
      </c>
      <c r="N9" s="95">
        <f t="shared" si="6"/>
        <v>1.6815564610370374E-2</v>
      </c>
      <c r="O9" s="213">
        <v>5.17</v>
      </c>
      <c r="P9" s="95">
        <f t="shared" si="7"/>
        <v>2.1019455762962966E-2</v>
      </c>
      <c r="Q9" s="211">
        <v>5.931</v>
      </c>
      <c r="R9" s="95">
        <f t="shared" si="8"/>
        <v>4.2038911525925933E-2</v>
      </c>
      <c r="S9" s="222">
        <v>9.19</v>
      </c>
      <c r="T9" s="95">
        <f t="shared" si="9"/>
        <v>8.4077823051851866E-2</v>
      </c>
      <c r="U9" s="220">
        <v>12</v>
      </c>
      <c r="V9" s="95">
        <f t="shared" si="10"/>
        <v>0.42038911525925932</v>
      </c>
      <c r="W9" s="211">
        <v>8.8089999999999993</v>
      </c>
      <c r="X9" s="102">
        <f t="shared" si="11"/>
        <v>4.2038911525925933</v>
      </c>
      <c r="Y9" s="220">
        <v>1.0009999999999999</v>
      </c>
      <c r="Z9" s="95">
        <f t="shared" si="12"/>
        <v>42.038911525925933</v>
      </c>
      <c r="AA9" s="211">
        <v>0.14099999999999999</v>
      </c>
      <c r="AB9" s="95">
        <f t="shared" si="13"/>
        <v>420.38911525925931</v>
      </c>
      <c r="AC9" s="222">
        <v>4.6339999999999999E-2</v>
      </c>
      <c r="AD9" s="456"/>
      <c r="AE9" s="456"/>
    </row>
    <row r="10" spans="1:31" x14ac:dyDescent="0.25">
      <c r="A10" s="2" t="s">
        <v>5</v>
      </c>
      <c r="B10" s="75">
        <v>16.5</v>
      </c>
      <c r="C10" s="75"/>
      <c r="D10" s="140">
        <v>0.1</v>
      </c>
      <c r="E10" s="138">
        <f t="shared" si="0"/>
        <v>100000</v>
      </c>
      <c r="F10" s="17">
        <f t="shared" si="1"/>
        <v>13.361333333333333</v>
      </c>
      <c r="G10" s="82">
        <f t="shared" si="2"/>
        <v>0.14845925925925926</v>
      </c>
      <c r="H10" s="95">
        <f t="shared" si="3"/>
        <v>8.407782305185185E-6</v>
      </c>
      <c r="I10" s="211">
        <v>2.7020000000000001E-4</v>
      </c>
      <c r="J10" s="95">
        <f t="shared" si="4"/>
        <v>1.681556461037037E-5</v>
      </c>
      <c r="K10" s="213">
        <v>3.8470000000000003E-4</v>
      </c>
      <c r="L10" s="95">
        <f t="shared" si="5"/>
        <v>4.2038911525925927E-5</v>
      </c>
      <c r="M10" s="213">
        <v>7.6110000000000001E-4</v>
      </c>
      <c r="N10" s="95">
        <f t="shared" si="6"/>
        <v>1.6815564610370371E-4</v>
      </c>
      <c r="O10" s="213">
        <v>7.1710000000000003E-3</v>
      </c>
      <c r="P10" s="95">
        <f t="shared" si="7"/>
        <v>2.1019455762962962E-4</v>
      </c>
      <c r="Q10" s="211">
        <v>1.027E-2</v>
      </c>
      <c r="R10" s="95">
        <f t="shared" si="8"/>
        <v>4.2038911525925924E-4</v>
      </c>
      <c r="S10" s="222">
        <v>2.8379999999999999E-2</v>
      </c>
      <c r="T10" s="95">
        <f t="shared" si="9"/>
        <v>8.4077823051851848E-4</v>
      </c>
      <c r="U10" s="220">
        <v>6.9760000000000003E-2</v>
      </c>
      <c r="V10" s="95">
        <f t="shared" si="10"/>
        <v>4.2038911525925926E-3</v>
      </c>
      <c r="W10" s="211">
        <v>0.20080000000000001</v>
      </c>
      <c r="X10" s="102">
        <f t="shared" si="11"/>
        <v>4.2038911525925926E-2</v>
      </c>
      <c r="Y10" s="220">
        <v>0.21190000000000001</v>
      </c>
      <c r="Z10" s="95">
        <f t="shared" si="12"/>
        <v>0.42038911525925926</v>
      </c>
      <c r="AA10" s="211">
        <v>0.1469</v>
      </c>
      <c r="AB10" s="95">
        <f t="shared" si="13"/>
        <v>4.2038911525925924</v>
      </c>
      <c r="AC10" s="222">
        <v>6.1499999999999999E-2</v>
      </c>
      <c r="AD10" s="456"/>
      <c r="AE10" s="456"/>
    </row>
    <row r="11" spans="1:31" x14ac:dyDescent="0.25">
      <c r="A11" s="2" t="s">
        <v>6</v>
      </c>
      <c r="B11" s="75">
        <v>16.5</v>
      </c>
      <c r="C11" s="75"/>
      <c r="D11" s="140">
        <v>0.1</v>
      </c>
      <c r="E11" s="138">
        <f t="shared" si="0"/>
        <v>100000</v>
      </c>
      <c r="F11" s="17">
        <f t="shared" si="1"/>
        <v>13.361333333333333</v>
      </c>
      <c r="G11" s="82">
        <f t="shared" si="2"/>
        <v>0.14845925925925926</v>
      </c>
      <c r="H11" s="95">
        <f t="shared" si="3"/>
        <v>8.407782305185185E-6</v>
      </c>
      <c r="I11" s="211">
        <v>7.8199999999999999E-7</v>
      </c>
      <c r="J11" s="95">
        <f t="shared" si="4"/>
        <v>1.681556461037037E-5</v>
      </c>
      <c r="K11" s="213">
        <v>1.0100000000000001E-6</v>
      </c>
      <c r="L11" s="95">
        <f t="shared" si="5"/>
        <v>4.2038911525925927E-5</v>
      </c>
      <c r="M11" s="213">
        <v>1.9400000000000001E-6</v>
      </c>
      <c r="N11" s="95">
        <f t="shared" si="6"/>
        <v>1.6815564610370371E-4</v>
      </c>
      <c r="O11" s="213">
        <v>2.3300000000000001E-5</v>
      </c>
      <c r="P11" s="95">
        <f t="shared" si="7"/>
        <v>2.1019455762962962E-4</v>
      </c>
      <c r="Q11" s="211">
        <v>3.5200000000000002E-5</v>
      </c>
      <c r="R11" s="95">
        <f t="shared" si="8"/>
        <v>4.2038911525925924E-4</v>
      </c>
      <c r="S11" s="222">
        <v>1.2300000000000001E-4</v>
      </c>
      <c r="T11" s="95">
        <f t="shared" si="9"/>
        <v>8.4077823051851848E-4</v>
      </c>
      <c r="U11" s="220">
        <v>4.2700000000000002E-4</v>
      </c>
      <c r="V11" s="95">
        <f t="shared" si="10"/>
        <v>4.2038911525925926E-3</v>
      </c>
      <c r="W11" s="211">
        <v>3.3700000000000002E-3</v>
      </c>
      <c r="X11" s="102">
        <f t="shared" si="11"/>
        <v>4.2038911525925926E-2</v>
      </c>
      <c r="Y11" s="220">
        <v>2.7900000000000001E-2</v>
      </c>
      <c r="Z11" s="95">
        <f t="shared" si="12"/>
        <v>0.42038911525925926</v>
      </c>
      <c r="AA11" s="211">
        <v>8.2199999999999995E-2</v>
      </c>
      <c r="AB11" s="95">
        <f t="shared" si="13"/>
        <v>4.2038911525925924</v>
      </c>
      <c r="AC11" s="222">
        <v>6.5000000000000002E-2</v>
      </c>
      <c r="AD11" s="456"/>
      <c r="AE11" s="456"/>
    </row>
    <row r="12" spans="1:31" ht="15.75" thickBot="1" x14ac:dyDescent="0.3">
      <c r="A12" s="2" t="s">
        <v>7</v>
      </c>
      <c r="B12" s="75">
        <v>4.8</v>
      </c>
      <c r="C12" s="75"/>
      <c r="D12" s="152">
        <v>35</v>
      </c>
      <c r="E12" s="138">
        <f t="shared" si="0"/>
        <v>35000000</v>
      </c>
      <c r="F12" s="45">
        <f t="shared" si="1"/>
        <v>16075.354166666666</v>
      </c>
      <c r="G12" s="82">
        <f t="shared" si="2"/>
        <v>178.6150462962963</v>
      </c>
      <c r="H12" s="95">
        <f t="shared" si="3"/>
        <v>1.0115613085925925E-2</v>
      </c>
      <c r="I12" s="211">
        <v>0.63</v>
      </c>
      <c r="J12" s="95">
        <f t="shared" si="4"/>
        <v>2.023122617185185E-2</v>
      </c>
      <c r="K12" s="213">
        <v>1.7</v>
      </c>
      <c r="L12" s="95">
        <f t="shared" si="5"/>
        <v>5.0578065429629629E-2</v>
      </c>
      <c r="M12" s="213">
        <v>6.06</v>
      </c>
      <c r="N12" s="95">
        <f t="shared" si="6"/>
        <v>0.20231226171851852</v>
      </c>
      <c r="O12" s="213">
        <v>19.5</v>
      </c>
      <c r="P12" s="95">
        <f t="shared" si="7"/>
        <v>0.25289032714814813</v>
      </c>
      <c r="Q12" s="211">
        <v>20.5</v>
      </c>
      <c r="R12" s="95">
        <f t="shared" si="8"/>
        <v>0.50578065429629626</v>
      </c>
      <c r="S12" s="222">
        <v>19.7</v>
      </c>
      <c r="T12" s="95">
        <f t="shared" si="9"/>
        <v>1.0115613085925925</v>
      </c>
      <c r="U12" s="220">
        <v>14</v>
      </c>
      <c r="V12" s="95">
        <f t="shared" si="10"/>
        <v>5.0578065429629628</v>
      </c>
      <c r="W12" s="211">
        <v>4.79</v>
      </c>
      <c r="X12" s="102">
        <f t="shared" si="11"/>
        <v>50.578065429629625</v>
      </c>
      <c r="Y12" s="220">
        <v>0.63700000000000001</v>
      </c>
      <c r="Z12" s="95">
        <f t="shared" si="12"/>
        <v>505.78065429629629</v>
      </c>
      <c r="AA12" s="211">
        <v>0.184</v>
      </c>
      <c r="AB12" s="95">
        <f t="shared" si="13"/>
        <v>5057.8065429629623</v>
      </c>
      <c r="AC12" s="222">
        <v>0.111</v>
      </c>
      <c r="AD12" s="456"/>
      <c r="AE12" s="456"/>
    </row>
    <row r="13" spans="1:31" x14ac:dyDescent="0.25">
      <c r="A13" s="2" t="s">
        <v>268</v>
      </c>
      <c r="B13" s="186">
        <v>4</v>
      </c>
      <c r="C13" s="200"/>
      <c r="D13" s="235">
        <v>18</v>
      </c>
      <c r="E13" s="138">
        <f t="shared" si="0"/>
        <v>18000000</v>
      </c>
      <c r="F13" s="45">
        <f t="shared" si="1"/>
        <v>9920.7899999999991</v>
      </c>
      <c r="G13" s="82">
        <f t="shared" si="2"/>
        <v>110.23099999999999</v>
      </c>
      <c r="H13" s="95">
        <f t="shared" si="3"/>
        <v>6.2427783615999991E-3</v>
      </c>
      <c r="I13" s="211"/>
      <c r="J13" s="95">
        <f t="shared" si="4"/>
        <v>1.2485556723199998E-2</v>
      </c>
      <c r="K13" s="213"/>
      <c r="L13" s="95">
        <f t="shared" si="5"/>
        <v>3.1213891807999997E-2</v>
      </c>
      <c r="M13" s="213"/>
      <c r="N13" s="95">
        <f t="shared" si="6"/>
        <v>0.12485556723199999</v>
      </c>
      <c r="O13" s="213"/>
      <c r="P13" s="95">
        <f t="shared" si="7"/>
        <v>0.15606945903999997</v>
      </c>
      <c r="Q13" s="211"/>
      <c r="R13" s="95">
        <f t="shared" si="8"/>
        <v>0.31213891807999994</v>
      </c>
      <c r="S13" s="222"/>
      <c r="T13" s="95">
        <f t="shared" si="9"/>
        <v>0.62427783615999988</v>
      </c>
      <c r="U13" s="220"/>
      <c r="V13" s="95">
        <f t="shared" si="10"/>
        <v>3.1213891807999996</v>
      </c>
      <c r="W13" s="211"/>
      <c r="X13" s="102">
        <f t="shared" si="11"/>
        <v>31.213891807999996</v>
      </c>
      <c r="Y13" s="220"/>
      <c r="Z13" s="95">
        <f t="shared" si="12"/>
        <v>312.13891807999994</v>
      </c>
      <c r="AA13" s="211"/>
      <c r="AB13" s="95">
        <f t="shared" si="13"/>
        <v>3121.3891807999994</v>
      </c>
      <c r="AC13" s="222"/>
      <c r="AD13" s="456"/>
      <c r="AE13" s="456"/>
    </row>
    <row r="14" spans="1:31" ht="15.75" thickBot="1" x14ac:dyDescent="0.3">
      <c r="A14" s="2" t="s">
        <v>264</v>
      </c>
      <c r="B14" s="186">
        <v>12.5</v>
      </c>
      <c r="C14" s="200"/>
      <c r="D14" s="235">
        <v>35</v>
      </c>
      <c r="E14" s="138">
        <f t="shared" si="0"/>
        <v>35000000</v>
      </c>
      <c r="F14" s="45">
        <f t="shared" si="1"/>
        <v>6172.9359999999997</v>
      </c>
      <c r="G14" s="82">
        <f t="shared" si="2"/>
        <v>68.588177777777773</v>
      </c>
      <c r="H14" s="95">
        <f t="shared" si="3"/>
        <v>3.8843954249955554E-3</v>
      </c>
      <c r="I14" s="211"/>
      <c r="J14" s="95">
        <f t="shared" si="4"/>
        <v>7.7687908499911107E-3</v>
      </c>
      <c r="K14" s="213"/>
      <c r="L14" s="95">
        <f t="shared" si="5"/>
        <v>1.9421977124977775E-2</v>
      </c>
      <c r="M14" s="213"/>
      <c r="N14" s="95">
        <f t="shared" si="6"/>
        <v>7.7687908499911099E-2</v>
      </c>
      <c r="O14" s="213"/>
      <c r="P14" s="95">
        <f t="shared" si="7"/>
        <v>9.7109885624888884E-2</v>
      </c>
      <c r="Q14" s="211"/>
      <c r="R14" s="95">
        <f t="shared" si="8"/>
        <v>0.19421977124977777</v>
      </c>
      <c r="S14" s="222"/>
      <c r="T14" s="95">
        <f t="shared" si="9"/>
        <v>0.38843954249955553</v>
      </c>
      <c r="U14" s="220"/>
      <c r="V14" s="95">
        <f t="shared" si="10"/>
        <v>1.9421977124977776</v>
      </c>
      <c r="W14" s="211"/>
      <c r="X14" s="102">
        <f t="shared" si="11"/>
        <v>19.421977124977776</v>
      </c>
      <c r="Y14" s="220"/>
      <c r="Z14" s="95">
        <f t="shared" si="12"/>
        <v>194.21977124977775</v>
      </c>
      <c r="AA14" s="211"/>
      <c r="AB14" s="95">
        <f t="shared" si="13"/>
        <v>1942.1977124977775</v>
      </c>
      <c r="AC14" s="222"/>
      <c r="AD14" s="456"/>
      <c r="AE14" s="456"/>
    </row>
    <row r="15" spans="1:31" ht="15.75" thickBot="1" x14ac:dyDescent="0.3">
      <c r="A15" s="2" t="s">
        <v>263</v>
      </c>
      <c r="B15" s="75">
        <v>97.5</v>
      </c>
      <c r="C15" s="75"/>
      <c r="D15" s="142">
        <v>100</v>
      </c>
      <c r="E15" s="138">
        <f t="shared" si="0"/>
        <v>100000000</v>
      </c>
      <c r="F15" s="45">
        <f t="shared" si="1"/>
        <v>2261.1487179487176</v>
      </c>
      <c r="G15" s="82">
        <f t="shared" si="2"/>
        <v>25.12387464387464</v>
      </c>
      <c r="H15" s="95">
        <f t="shared" si="3"/>
        <v>1.4228554670313387E-3</v>
      </c>
      <c r="I15" s="211">
        <v>4.02E-2</v>
      </c>
      <c r="J15" s="95">
        <f t="shared" si="4"/>
        <v>2.8457109340626775E-3</v>
      </c>
      <c r="K15" s="213">
        <v>0.127</v>
      </c>
      <c r="L15" s="95">
        <f t="shared" si="5"/>
        <v>7.1142773351566936E-3</v>
      </c>
      <c r="M15" s="213">
        <v>0.434</v>
      </c>
      <c r="N15" s="95">
        <f t="shared" si="6"/>
        <v>2.8457109340626775E-2</v>
      </c>
      <c r="O15" s="213">
        <v>1.36</v>
      </c>
      <c r="P15" s="95">
        <f t="shared" si="7"/>
        <v>3.5571386675783467E-2</v>
      </c>
      <c r="Q15" s="211">
        <v>1.59</v>
      </c>
      <c r="R15" s="95">
        <f t="shared" si="8"/>
        <v>7.1142773351566935E-2</v>
      </c>
      <c r="S15" s="222">
        <v>2.21</v>
      </c>
      <c r="T15" s="95">
        <f t="shared" si="9"/>
        <v>0.14228554670313387</v>
      </c>
      <c r="U15" s="220">
        <v>2.4700000000000002</v>
      </c>
      <c r="V15" s="95">
        <f t="shared" si="10"/>
        <v>0.71142773351566935</v>
      </c>
      <c r="W15" s="211">
        <v>1.2</v>
      </c>
      <c r="X15" s="102">
        <f t="shared" si="11"/>
        <v>7.114277335156693</v>
      </c>
      <c r="Y15" s="220">
        <v>0.307</v>
      </c>
      <c r="Z15" s="95">
        <f t="shared" si="12"/>
        <v>71.14277335156693</v>
      </c>
      <c r="AA15" s="211">
        <v>0.17499999999999999</v>
      </c>
      <c r="AB15" s="95">
        <f t="shared" si="13"/>
        <v>711.42773351566939</v>
      </c>
      <c r="AC15" s="222">
        <v>0.129</v>
      </c>
      <c r="AD15" s="457"/>
      <c r="AE15" s="457"/>
    </row>
    <row r="16" spans="1:31" ht="15.75" thickBot="1" x14ac:dyDescent="0.3">
      <c r="A16" s="2" t="s">
        <v>10</v>
      </c>
      <c r="B16" s="75">
        <v>147.5</v>
      </c>
      <c r="C16" s="75"/>
      <c r="D16" s="140">
        <v>0.1</v>
      </c>
      <c r="E16" s="138">
        <f t="shared" si="0"/>
        <v>100000</v>
      </c>
      <c r="F16" s="17">
        <f t="shared" si="1"/>
        <v>1.4946576271186438</v>
      </c>
      <c r="G16" s="82">
        <f t="shared" si="2"/>
        <v>1.6607306967984931E-2</v>
      </c>
      <c r="H16" s="95">
        <f t="shared" si="3"/>
        <v>9.4053157990207138E-7</v>
      </c>
      <c r="I16" s="211">
        <v>1.2600000000000001E-3</v>
      </c>
      <c r="J16" s="95">
        <f t="shared" si="4"/>
        <v>1.8810631598041428E-6</v>
      </c>
      <c r="K16" s="213">
        <v>6.1799999999999995E-4</v>
      </c>
      <c r="L16" s="95">
        <f t="shared" si="5"/>
        <v>4.7026578995103566E-6</v>
      </c>
      <c r="M16" s="213">
        <v>2.4499999999999999E-4</v>
      </c>
      <c r="N16" s="95">
        <f t="shared" si="6"/>
        <v>1.8810631598041426E-5</v>
      </c>
      <c r="O16" s="213">
        <v>2.03E-4</v>
      </c>
      <c r="P16" s="95">
        <f t="shared" si="7"/>
        <v>2.3513289497551782E-5</v>
      </c>
      <c r="Q16" s="211">
        <v>2.33E-4</v>
      </c>
      <c r="R16" s="95">
        <f t="shared" si="8"/>
        <v>4.7026578995103564E-5</v>
      </c>
      <c r="S16" s="222">
        <v>3.3199999999999999E-4</v>
      </c>
      <c r="T16" s="95">
        <f t="shared" si="9"/>
        <v>9.4053157990207128E-5</v>
      </c>
      <c r="U16" s="220">
        <v>4.3899999999999999E-4</v>
      </c>
      <c r="V16" s="95">
        <f t="shared" si="10"/>
        <v>4.7026578995103567E-4</v>
      </c>
      <c r="W16" s="211">
        <v>1.8799999999999999E-3</v>
      </c>
      <c r="X16" s="102">
        <f t="shared" si="11"/>
        <v>4.7026578995103567E-3</v>
      </c>
      <c r="Y16" s="220">
        <v>1.8200000000000001E-2</v>
      </c>
      <c r="Z16" s="95">
        <f t="shared" si="12"/>
        <v>4.7026578995103568E-2</v>
      </c>
      <c r="AA16" s="211">
        <v>9.9900000000000003E-2</v>
      </c>
      <c r="AB16" s="95">
        <f t="shared" si="13"/>
        <v>0.47026578995103568</v>
      </c>
      <c r="AC16" s="222">
        <v>0.20799999999999999</v>
      </c>
      <c r="AD16" s="155">
        <f>(($G16)*0.0283168)/0.0001</f>
        <v>4.7026578995103563</v>
      </c>
      <c r="AE16" s="156">
        <v>0.157</v>
      </c>
    </row>
    <row r="17" spans="1:31" ht="15.75" thickBot="1" x14ac:dyDescent="0.3">
      <c r="A17" s="2" t="s">
        <v>11</v>
      </c>
      <c r="B17" s="75">
        <v>147.5</v>
      </c>
      <c r="C17" s="75"/>
      <c r="D17" s="141">
        <v>0.1</v>
      </c>
      <c r="E17" s="138">
        <f t="shared" si="0"/>
        <v>100000</v>
      </c>
      <c r="F17" s="17">
        <f t="shared" si="1"/>
        <v>1.4946576271186438</v>
      </c>
      <c r="G17" s="82">
        <f t="shared" si="2"/>
        <v>1.6607306967984931E-2</v>
      </c>
      <c r="H17" s="95">
        <f t="shared" si="3"/>
        <v>9.4053157990207138E-7</v>
      </c>
      <c r="I17" s="211">
        <v>3.0499999999999999E-4</v>
      </c>
      <c r="J17" s="95">
        <f t="shared" si="4"/>
        <v>1.8810631598041428E-6</v>
      </c>
      <c r="K17" s="213">
        <v>1.4999999999999999E-4</v>
      </c>
      <c r="L17" s="95">
        <f t="shared" si="5"/>
        <v>4.7026578995103566E-6</v>
      </c>
      <c r="M17" s="213">
        <v>5.91E-5</v>
      </c>
      <c r="N17" s="95">
        <f t="shared" si="6"/>
        <v>1.8810631598041426E-5</v>
      </c>
      <c r="O17" s="213">
        <v>2.76E-5</v>
      </c>
      <c r="P17" s="95">
        <f t="shared" si="7"/>
        <v>2.3513289497551782E-5</v>
      </c>
      <c r="Q17" s="211">
        <v>2.76E-5</v>
      </c>
      <c r="R17" s="95">
        <f t="shared" si="8"/>
        <v>4.7026578995103564E-5</v>
      </c>
      <c r="S17" s="222">
        <v>2.76E-5</v>
      </c>
      <c r="T17" s="95">
        <f t="shared" si="9"/>
        <v>9.4053157990207128E-5</v>
      </c>
      <c r="U17" s="220">
        <v>2.76E-5</v>
      </c>
      <c r="V17" s="95">
        <f t="shared" si="10"/>
        <v>4.7026578995103567E-4</v>
      </c>
      <c r="W17" s="211">
        <v>1.11E-4</v>
      </c>
      <c r="X17" s="102">
        <f t="shared" si="11"/>
        <v>4.7026578995103567E-3</v>
      </c>
      <c r="Y17" s="220">
        <v>5.6499999999999996E-3</v>
      </c>
      <c r="Z17" s="95">
        <f t="shared" si="12"/>
        <v>4.7026578995103568E-2</v>
      </c>
      <c r="AA17" s="211">
        <v>8.1299999999999997E-2</v>
      </c>
      <c r="AB17" s="95">
        <f t="shared" si="13"/>
        <v>0.47026578995103568</v>
      </c>
      <c r="AC17" s="222">
        <v>0.216</v>
      </c>
      <c r="AD17" s="155">
        <f>(($G17)*0.0283168)/0.0001</f>
        <v>4.7026578995103563</v>
      </c>
      <c r="AE17" s="156">
        <v>0.16800000000000001</v>
      </c>
    </row>
    <row r="18" spans="1:31" ht="15.75" thickBot="1" x14ac:dyDescent="0.3">
      <c r="A18" s="3" t="s">
        <v>13</v>
      </c>
      <c r="B18" s="74">
        <v>1365</v>
      </c>
      <c r="C18" s="74"/>
      <c r="D18" s="143">
        <v>144</v>
      </c>
      <c r="E18" s="138">
        <f t="shared" si="0"/>
        <v>144000000</v>
      </c>
      <c r="F18" s="47">
        <f t="shared" si="1"/>
        <v>232.57529670329671</v>
      </c>
      <c r="G18" s="83">
        <f t="shared" si="2"/>
        <v>2.5841699633699635</v>
      </c>
      <c r="H18" s="96">
        <f t="shared" si="3"/>
        <v>1.4635084803750917E-4</v>
      </c>
      <c r="I18" s="230">
        <v>3.5299999999999998E-2</v>
      </c>
      <c r="J18" s="96">
        <f t="shared" si="4"/>
        <v>2.9270169607501835E-4</v>
      </c>
      <c r="K18" s="231">
        <v>5.9700000000000003E-2</v>
      </c>
      <c r="L18" s="96">
        <f t="shared" si="5"/>
        <v>7.3175424018754589E-4</v>
      </c>
      <c r="M18" s="231">
        <v>0.11799999999999999</v>
      </c>
      <c r="N18" s="96">
        <f t="shared" si="6"/>
        <v>2.9270169607501836E-3</v>
      </c>
      <c r="O18" s="231">
        <v>0.30299999999999999</v>
      </c>
      <c r="P18" s="96">
        <f t="shared" si="7"/>
        <v>3.658771200937729E-3</v>
      </c>
      <c r="Q18" s="230">
        <v>0.379</v>
      </c>
      <c r="R18" s="96">
        <f t="shared" si="8"/>
        <v>7.3175424018754581E-3</v>
      </c>
      <c r="S18" s="232">
        <v>0.90600000000000003</v>
      </c>
      <c r="T18" s="96">
        <f t="shared" si="9"/>
        <v>1.4635084803750916E-2</v>
      </c>
      <c r="U18" s="233">
        <v>2.3199999999999998</v>
      </c>
      <c r="V18" s="96">
        <f t="shared" si="10"/>
        <v>7.3175424018754584E-2</v>
      </c>
      <c r="W18" s="230">
        <v>13.4</v>
      </c>
      <c r="X18" s="102">
        <f t="shared" si="11"/>
        <v>0.73175424018754576</v>
      </c>
      <c r="Y18" s="233">
        <v>19.8</v>
      </c>
      <c r="Z18" s="96">
        <f t="shared" si="12"/>
        <v>7.3175424018754587</v>
      </c>
      <c r="AA18" s="230">
        <v>2.72</v>
      </c>
      <c r="AB18" s="96">
        <f t="shared" si="13"/>
        <v>73.175424018754583</v>
      </c>
      <c r="AC18" s="232">
        <v>0.27500000000000002</v>
      </c>
      <c r="AD18" s="25"/>
    </row>
    <row r="20" spans="1:31" x14ac:dyDescent="0.25">
      <c r="O20" t="s">
        <v>58</v>
      </c>
    </row>
    <row r="21" spans="1:31" ht="18.75" x14ac:dyDescent="0.3">
      <c r="A21" s="453" t="s">
        <v>57</v>
      </c>
      <c r="B21" s="453"/>
      <c r="C21" s="453"/>
      <c r="D21" s="453"/>
      <c r="E21" s="453"/>
      <c r="F21" s="453"/>
      <c r="G21" s="453"/>
      <c r="H21" s="453"/>
      <c r="O21" t="s">
        <v>55</v>
      </c>
    </row>
    <row r="22" spans="1:31" ht="15.75" thickBot="1" x14ac:dyDescent="0.3"/>
    <row r="23" spans="1:31" ht="18" thickBot="1" x14ac:dyDescent="0.3">
      <c r="A23" s="81" t="s">
        <v>32</v>
      </c>
      <c r="B23" s="408" t="s">
        <v>61</v>
      </c>
      <c r="C23" s="452"/>
      <c r="D23" s="454" t="s">
        <v>62</v>
      </c>
      <c r="E23" s="452"/>
      <c r="F23" s="408" t="s">
        <v>63</v>
      </c>
      <c r="G23" s="409"/>
      <c r="H23" s="408" t="s">
        <v>64</v>
      </c>
      <c r="I23" s="409"/>
      <c r="J23" s="408" t="s">
        <v>65</v>
      </c>
      <c r="K23" s="409"/>
      <c r="L23" s="408" t="s">
        <v>66</v>
      </c>
      <c r="M23" s="409"/>
      <c r="N23" s="408" t="s">
        <v>67</v>
      </c>
      <c r="O23" s="409"/>
      <c r="P23" s="408" t="s">
        <v>68</v>
      </c>
      <c r="Q23" s="452"/>
      <c r="R23" s="408" t="s">
        <v>69</v>
      </c>
      <c r="S23" s="409"/>
      <c r="T23" s="408" t="s">
        <v>119</v>
      </c>
      <c r="U23" s="452"/>
      <c r="V23" s="450" t="s">
        <v>122</v>
      </c>
      <c r="W23" s="451"/>
      <c r="X23" s="450" t="s">
        <v>121</v>
      </c>
      <c r="Y23" s="451"/>
      <c r="Z23" s="65"/>
      <c r="AA23" s="65"/>
      <c r="AB23" s="65"/>
      <c r="AC23" s="65"/>
    </row>
    <row r="24" spans="1:31" ht="27" thickBot="1" x14ac:dyDescent="0.3">
      <c r="A24" s="80" t="s">
        <v>25</v>
      </c>
      <c r="B24" s="127" t="s">
        <v>18</v>
      </c>
      <c r="C24" s="104" t="s">
        <v>19</v>
      </c>
      <c r="D24" s="126" t="s">
        <v>18</v>
      </c>
      <c r="E24" s="104" t="s">
        <v>19</v>
      </c>
      <c r="F24" s="103" t="s">
        <v>18</v>
      </c>
      <c r="G24" s="104" t="s">
        <v>19</v>
      </c>
      <c r="H24" s="103" t="s">
        <v>18</v>
      </c>
      <c r="I24" s="104" t="s">
        <v>19</v>
      </c>
      <c r="J24" s="103" t="s">
        <v>18</v>
      </c>
      <c r="K24" s="104" t="s">
        <v>19</v>
      </c>
      <c r="L24" s="103" t="s">
        <v>18</v>
      </c>
      <c r="M24" s="104" t="s">
        <v>19</v>
      </c>
      <c r="N24" s="103" t="s">
        <v>18</v>
      </c>
      <c r="O24" s="104" t="s">
        <v>19</v>
      </c>
      <c r="P24" s="105" t="s">
        <v>18</v>
      </c>
      <c r="Q24" s="104" t="s">
        <v>19</v>
      </c>
      <c r="R24" s="126" t="s">
        <v>18</v>
      </c>
      <c r="S24" s="104" t="s">
        <v>19</v>
      </c>
      <c r="T24" s="105" t="s">
        <v>18</v>
      </c>
      <c r="U24" s="125" t="s">
        <v>19</v>
      </c>
      <c r="V24" s="105" t="s">
        <v>18</v>
      </c>
      <c r="W24" s="125" t="s">
        <v>19</v>
      </c>
      <c r="X24" s="105" t="s">
        <v>18</v>
      </c>
      <c r="Y24" s="125" t="s">
        <v>19</v>
      </c>
      <c r="Z24" s="78"/>
      <c r="AA24" s="78"/>
      <c r="AB24" s="78"/>
      <c r="AC24" s="78"/>
    </row>
    <row r="25" spans="1:31" x14ac:dyDescent="0.25">
      <c r="A25" s="76">
        <v>20000</v>
      </c>
      <c r="B25" s="128">
        <f>($A25)/('Model Output'!$T$22)</f>
        <v>9514994215.6165257</v>
      </c>
      <c r="C25" s="129">
        <f>('Model Output'!$W$22)</f>
        <v>1.2E-5</v>
      </c>
      <c r="D25" s="130">
        <f>($A25)/('Model Output'!$T$23)</f>
        <v>1268665895.4155369</v>
      </c>
      <c r="E25" s="128">
        <f>('Model Output'!$W$23)</f>
        <v>2.3800000000000002E-3</v>
      </c>
      <c r="F25" s="131">
        <f>($A25)/('Model Output'!$T$24)</f>
        <v>951499421.56165218</v>
      </c>
      <c r="G25" s="128">
        <f>('Model Output'!$W$24)</f>
        <v>6.4000000000000005E-4</v>
      </c>
      <c r="H25" s="131">
        <f>($A25)/('Model Output'!$T$25)</f>
        <v>95149942156.165237</v>
      </c>
      <c r="I25" s="128">
        <f>('Model Output'!$W$25)</f>
        <v>1.5200000000000001E-4</v>
      </c>
      <c r="J25" s="131">
        <f>($A25)/('Model Output'!$T$26)</f>
        <v>95149942156.165237</v>
      </c>
      <c r="K25" s="128">
        <f>('Model Output'!$W$26)</f>
        <v>4.0600000000000001E-7</v>
      </c>
      <c r="L25" s="131">
        <f>($A25)/('Model Output'!$T$27)</f>
        <v>76614239.138730481</v>
      </c>
      <c r="M25" s="128">
        <f>('Model Output'!$W$27)</f>
        <v>4.6900000000000002E-4</v>
      </c>
      <c r="N25" s="131">
        <f>($A25)/('Model Output'!$T$31)</f>
        <v>562249658.19552195</v>
      </c>
      <c r="O25" s="128">
        <f>('Model Output'!$W$31)</f>
        <v>1.7899999999999999E-3</v>
      </c>
      <c r="P25" s="131">
        <f>($A25)/('Model Output'!$T$32)</f>
        <v>850582816244.50769</v>
      </c>
      <c r="Q25" s="129">
        <f>('Model Output'!$W$32)</f>
        <v>1.15E-3</v>
      </c>
      <c r="R25" s="130">
        <f>($A25)/('Model Output'!$T$33)</f>
        <v>850582816244.50769</v>
      </c>
      <c r="S25" s="128">
        <f>('Model Output'!$W$33)</f>
        <v>2.7799999999999998E-4</v>
      </c>
      <c r="T25" s="131">
        <f>($A25)/('Model Output'!$T$35)</f>
        <v>5466316121.3453512</v>
      </c>
      <c r="U25" s="132">
        <f>('Model Output'!$W$35)</f>
        <v>8.5599999999999999E-3</v>
      </c>
      <c r="V25" s="131">
        <f>($A25)/('Model Output'!$T$28)</f>
        <v>128148070.24399361</v>
      </c>
      <c r="W25" s="132">
        <f>('Model Output'!$W$28)</f>
        <v>0</v>
      </c>
      <c r="X25" s="131">
        <f>($A25)/('Model Output'!$T$30)</f>
        <v>205952255.74927545</v>
      </c>
      <c r="Y25" s="132">
        <f>('Model Output'!$W$30)</f>
        <v>0</v>
      </c>
      <c r="Z25" s="78"/>
      <c r="AA25" s="78"/>
      <c r="AB25" s="78"/>
      <c r="AC25" s="78"/>
    </row>
    <row r="26" spans="1:31" x14ac:dyDescent="0.25">
      <c r="A26" s="76">
        <v>1000</v>
      </c>
      <c r="B26" s="128">
        <f>($A26)/('Model Output'!$S$22)</f>
        <v>23787485.539041314</v>
      </c>
      <c r="C26" s="129">
        <f>('Model Output'!$U$22)</f>
        <v>1.9000000000000001E-4</v>
      </c>
      <c r="D26" s="133">
        <f>($A26)/('Model Output'!$S$23)</f>
        <v>3171664.7385388422</v>
      </c>
      <c r="E26" s="128">
        <f>('Model Output'!$U$23)</f>
        <v>0.1381</v>
      </c>
      <c r="F26" s="128">
        <f>($A26)/('Model Output'!$S$24)</f>
        <v>2378748.5539041306</v>
      </c>
      <c r="G26" s="128">
        <f>('Model Output'!$U$24)</f>
        <v>0.12</v>
      </c>
      <c r="H26" s="128">
        <f>($A26)/('Model Output'!$S$25)</f>
        <v>237874855.39041311</v>
      </c>
      <c r="I26" s="128">
        <f>('Model Output'!$U$25)</f>
        <v>1.3300000000000001E-4</v>
      </c>
      <c r="J26" s="128">
        <f>($A26)/('Model Output'!$S$26)</f>
        <v>237874855.39041311</v>
      </c>
      <c r="K26" s="128">
        <f>('Model Output'!$U$26)</f>
        <v>4.6499999999999999E-7</v>
      </c>
      <c r="L26" s="128">
        <f>($A26)/('Model Output'!$S$27)</f>
        <v>191535.59784682619</v>
      </c>
      <c r="M26" s="128">
        <f>('Model Output'!$U$27)</f>
        <v>0.214</v>
      </c>
      <c r="N26" s="128">
        <f>($A26)/('Model Output'!$S$31)</f>
        <v>1405624.1454888049</v>
      </c>
      <c r="O26" s="128">
        <f>('Model Output'!$U$31)</f>
        <v>2.7799999999999998E-2</v>
      </c>
      <c r="P26" s="128">
        <f>($A26)/('Model Output'!$S$32)</f>
        <v>2126457040.611269</v>
      </c>
      <c r="Q26" s="129">
        <f>('Model Output'!$U$32)</f>
        <v>8.8800000000000001E-4</v>
      </c>
      <c r="R26" s="133">
        <f>($A26)/('Model Output'!$S$33)</f>
        <v>2126457040.611269</v>
      </c>
      <c r="S26" s="128">
        <f>('Model Output'!$U$33)</f>
        <v>2.1499999999999999E-4</v>
      </c>
      <c r="T26" s="128">
        <f>($A26)/('Model Output'!$S$35)</f>
        <v>13665790.303363377</v>
      </c>
      <c r="U26" s="132">
        <f>('Model Output'!$U$35)</f>
        <v>0.03</v>
      </c>
      <c r="V26" s="128">
        <f>($A26)/('Model Output'!$S$28)</f>
        <v>320370.17560998403</v>
      </c>
      <c r="W26" s="132">
        <f>('Model Output'!$U$28)</f>
        <v>0</v>
      </c>
      <c r="X26" s="128">
        <f>($A26)/('Model Output'!$S$30)</f>
        <v>514880.63937318855</v>
      </c>
      <c r="Y26" s="132">
        <f>('Model Output'!$U$30)</f>
        <v>3.97</v>
      </c>
      <c r="Z26" s="78"/>
      <c r="AA26" s="78"/>
      <c r="AB26" s="78"/>
      <c r="AC26" s="78"/>
    </row>
    <row r="27" spans="1:31" x14ac:dyDescent="0.25">
      <c r="A27" s="76">
        <v>500</v>
      </c>
      <c r="B27" s="128">
        <f>($A27)/($H$7)</f>
        <v>5946871.3847603286</v>
      </c>
      <c r="C27" s="129">
        <f>($I$7)</f>
        <v>1.4579999999999999E-4</v>
      </c>
      <c r="D27" s="133">
        <f>($A27)/($H$8)</f>
        <v>792916.18463471055</v>
      </c>
      <c r="E27" s="128">
        <f>($I$8)</f>
        <v>0.51570000000000005</v>
      </c>
      <c r="F27" s="128">
        <f>($A27)/($H$9)</f>
        <v>594687.13847603265</v>
      </c>
      <c r="G27" s="128">
        <f>($I$9)</f>
        <v>0.1154</v>
      </c>
      <c r="H27" s="128">
        <f>($A27)/($H$10)</f>
        <v>59468713.847603276</v>
      </c>
      <c r="I27" s="128">
        <f>($I$10)</f>
        <v>2.7020000000000001E-4</v>
      </c>
      <c r="J27" s="128">
        <f>($A27)/($H$11)</f>
        <v>59468713.847603276</v>
      </c>
      <c r="K27" s="128">
        <f>($I$11)</f>
        <v>7.8199999999999999E-7</v>
      </c>
      <c r="L27" s="128">
        <f>($A27)/($H$12)</f>
        <v>49428.5413798261</v>
      </c>
      <c r="M27" s="128">
        <f>($I$12)</f>
        <v>0.63</v>
      </c>
      <c r="N27" s="128">
        <f>($A27)/($H$15)</f>
        <v>351406.03637220123</v>
      </c>
      <c r="O27" s="128">
        <f>($I$15)</f>
        <v>4.02E-2</v>
      </c>
      <c r="P27" s="128">
        <f>($A27)/($H$16)</f>
        <v>531614260.15281725</v>
      </c>
      <c r="Q27" s="129">
        <f>($I$16)</f>
        <v>1.2600000000000001E-3</v>
      </c>
      <c r="R27" s="133">
        <f>($A27)/($H$17)</f>
        <v>531614260.15281725</v>
      </c>
      <c r="S27" s="128">
        <f>($I$17)</f>
        <v>3.0499999999999999E-4</v>
      </c>
      <c r="T27" s="128">
        <f>($A27)/($H$18)</f>
        <v>3416447.5758408443</v>
      </c>
      <c r="U27" s="132">
        <f>($I$18)</f>
        <v>3.5299999999999998E-2</v>
      </c>
      <c r="V27" s="128">
        <f>($A27)/($H$13)</f>
        <v>80092.543902496007</v>
      </c>
      <c r="W27" s="132">
        <f>($I$13)</f>
        <v>0</v>
      </c>
      <c r="X27" s="128">
        <f>($A27)/($H$14)</f>
        <v>128720.15984329714</v>
      </c>
      <c r="Y27" s="132">
        <f>($I$14)</f>
        <v>0</v>
      </c>
      <c r="Z27" s="78"/>
      <c r="AA27" s="78"/>
      <c r="AB27" s="78"/>
      <c r="AC27" s="78"/>
    </row>
    <row r="28" spans="1:31" x14ac:dyDescent="0.25">
      <c r="A28" s="76">
        <v>250</v>
      </c>
      <c r="B28" s="128">
        <f>($A28)/($J$7)</f>
        <v>1486717.8461900821</v>
      </c>
      <c r="C28" s="129">
        <f>$K$7</f>
        <v>2.4250000000000001E-4</v>
      </c>
      <c r="D28" s="133">
        <f>($A28)/($J$8)</f>
        <v>198229.04615867764</v>
      </c>
      <c r="E28" s="128">
        <f>$K$8</f>
        <v>1.913</v>
      </c>
      <c r="F28" s="128">
        <f>($A28)/($J$9)</f>
        <v>148671.78461900816</v>
      </c>
      <c r="G28" s="128">
        <f>$K$9</f>
        <v>0.39639999999999997</v>
      </c>
      <c r="H28" s="128">
        <f>($A28)/($J$10)</f>
        <v>14867178.461900819</v>
      </c>
      <c r="I28" s="128">
        <f>$K$10</f>
        <v>3.8470000000000003E-4</v>
      </c>
      <c r="J28" s="128">
        <f>($A28)/($J$11)</f>
        <v>14867178.461900819</v>
      </c>
      <c r="K28" s="128">
        <f>$K$11</f>
        <v>1.0100000000000001E-6</v>
      </c>
      <c r="L28" s="128">
        <f>($A28)/($J$12)</f>
        <v>12357.135344956525</v>
      </c>
      <c r="M28" s="128">
        <f>$K$12</f>
        <v>1.7</v>
      </c>
      <c r="N28" s="128">
        <f>($A28)/($J$15)</f>
        <v>87851.509093050307</v>
      </c>
      <c r="O28" s="128">
        <f>$K$15</f>
        <v>0.127</v>
      </c>
      <c r="P28" s="128">
        <f>($A28)/($J$16)</f>
        <v>132903565.03820431</v>
      </c>
      <c r="Q28" s="129">
        <f>$K$16</f>
        <v>6.1799999999999995E-4</v>
      </c>
      <c r="R28" s="133">
        <f>($A28)/($J$17)</f>
        <v>132903565.03820431</v>
      </c>
      <c r="S28" s="128">
        <f>$K$17</f>
        <v>1.4999999999999999E-4</v>
      </c>
      <c r="T28" s="128">
        <f>($A28)/($J$18)</f>
        <v>854111.89396021108</v>
      </c>
      <c r="U28" s="132">
        <f>$K$18</f>
        <v>5.9700000000000003E-2</v>
      </c>
      <c r="V28" s="128">
        <f>($A28)/($J$13)</f>
        <v>20023.135975624002</v>
      </c>
      <c r="W28" s="132">
        <f>$K$13</f>
        <v>0</v>
      </c>
      <c r="X28" s="128">
        <f>($A28)/($J$14)</f>
        <v>32180.039960824284</v>
      </c>
      <c r="Y28" s="132">
        <f>$K$14</f>
        <v>0</v>
      </c>
      <c r="Z28" s="78"/>
      <c r="AA28" s="78"/>
      <c r="AB28" s="78"/>
      <c r="AC28" s="78"/>
    </row>
    <row r="29" spans="1:31" x14ac:dyDescent="0.25">
      <c r="A29" s="76">
        <v>100</v>
      </c>
      <c r="B29" s="128">
        <f>($A29)/($L$7)</f>
        <v>237874.85539041314</v>
      </c>
      <c r="C29" s="129">
        <f>$M$7</f>
        <v>6.6879999999999999E-4</v>
      </c>
      <c r="D29" s="133">
        <f>($A29)/($L$8)</f>
        <v>31716.64738538842</v>
      </c>
      <c r="E29" s="128">
        <f>$M$8</f>
        <v>8.9209999999999994</v>
      </c>
      <c r="F29" s="128">
        <f>($A29)/($L$9)</f>
        <v>23787.485539041303</v>
      </c>
      <c r="G29" s="128">
        <f>$M$9</f>
        <v>1.518</v>
      </c>
      <c r="H29" s="128">
        <f>($A29)/($L$10)</f>
        <v>2378748.5539041311</v>
      </c>
      <c r="I29" s="128">
        <f>$M$10</f>
        <v>7.6110000000000001E-4</v>
      </c>
      <c r="J29" s="128">
        <f>($A29)/($L$11)</f>
        <v>2378748.5539041311</v>
      </c>
      <c r="K29" s="128">
        <f>$M$11</f>
        <v>1.9400000000000001E-6</v>
      </c>
      <c r="L29" s="128">
        <f>($A29)/($L$12)</f>
        <v>1977.141655193044</v>
      </c>
      <c r="M29" s="128">
        <f>$M$12</f>
        <v>6.06</v>
      </c>
      <c r="N29" s="128">
        <f>($A29)/($L$15)</f>
        <v>14056.24145488805</v>
      </c>
      <c r="O29" s="128">
        <f>$M$15</f>
        <v>0.434</v>
      </c>
      <c r="P29" s="128">
        <f>($A29)/($L$16)</f>
        <v>21264570.406112693</v>
      </c>
      <c r="Q29" s="129">
        <f>$M$16</f>
        <v>2.4499999999999999E-4</v>
      </c>
      <c r="R29" s="133">
        <f>($A29)/($L$17)</f>
        <v>21264570.406112693</v>
      </c>
      <c r="S29" s="128">
        <f>$M$17</f>
        <v>5.91E-5</v>
      </c>
      <c r="T29" s="128">
        <f>($A29)/($L$18)</f>
        <v>136657.90303363377</v>
      </c>
      <c r="U29" s="132">
        <f>$M$18</f>
        <v>0.11799999999999999</v>
      </c>
      <c r="V29" s="128">
        <f>($A29)/($L$13)</f>
        <v>3203.7017560998402</v>
      </c>
      <c r="W29" s="132">
        <f>$M$13</f>
        <v>0</v>
      </c>
      <c r="X29" s="128">
        <f>($A29)/($L$14)</f>
        <v>5148.8063937318857</v>
      </c>
      <c r="Y29" s="132">
        <f>$M$14</f>
        <v>0</v>
      </c>
      <c r="Z29" s="78"/>
      <c r="AA29" s="78"/>
      <c r="AB29" s="78"/>
      <c r="AC29" s="78"/>
    </row>
    <row r="30" spans="1:31" x14ac:dyDescent="0.25">
      <c r="A30" s="76">
        <v>25</v>
      </c>
      <c r="B30" s="128">
        <f>($A30)/($N$7)</f>
        <v>14867.178461900821</v>
      </c>
      <c r="C30" s="129">
        <f>$O$7</f>
        <v>2.9680000000000002E-3</v>
      </c>
      <c r="D30" s="133">
        <f>($A30)/($N$8)</f>
        <v>1982.2904615867762</v>
      </c>
      <c r="E30" s="128">
        <f>$O$8</f>
        <v>17.27</v>
      </c>
      <c r="F30" s="128">
        <f>($A30)/($N$9)</f>
        <v>1486.7178461900814</v>
      </c>
      <c r="G30" s="128">
        <f>$O$9</f>
        <v>5.17</v>
      </c>
      <c r="H30" s="128">
        <f>($A30)/($N$10)</f>
        <v>148671.78461900819</v>
      </c>
      <c r="I30" s="128">
        <f>$O$10</f>
        <v>7.1710000000000003E-3</v>
      </c>
      <c r="J30" s="128">
        <f>($A30)/($N$11)</f>
        <v>148671.78461900819</v>
      </c>
      <c r="K30" s="128">
        <f>$O$11</f>
        <v>2.3300000000000001E-5</v>
      </c>
      <c r="L30" s="128">
        <f>($A30)/($N$12)</f>
        <v>123.57135344956525</v>
      </c>
      <c r="M30" s="128">
        <f>$O$12</f>
        <v>19.5</v>
      </c>
      <c r="N30" s="128">
        <f>($A30)/($N$15)</f>
        <v>878.51509093050311</v>
      </c>
      <c r="O30" s="128">
        <f>$O$15</f>
        <v>1.36</v>
      </c>
      <c r="P30" s="128">
        <f>($A30)/($N$16)</f>
        <v>1329035.6503820433</v>
      </c>
      <c r="Q30" s="129">
        <f>$O$16</f>
        <v>2.03E-4</v>
      </c>
      <c r="R30" s="133">
        <f>($A30)/($N$17)</f>
        <v>1329035.6503820433</v>
      </c>
      <c r="S30" s="128">
        <f>$O$17</f>
        <v>2.76E-5</v>
      </c>
      <c r="T30" s="128">
        <f>($A30)/($N$18)</f>
        <v>8541.1189396021109</v>
      </c>
      <c r="U30" s="132">
        <f>$O$18</f>
        <v>0.30299999999999999</v>
      </c>
      <c r="V30" s="128">
        <f>($A30)/($N$13)</f>
        <v>200.23135975624001</v>
      </c>
      <c r="W30" s="132">
        <f>$O$13</f>
        <v>0</v>
      </c>
      <c r="X30" s="128">
        <f>($A30)/($N$14)</f>
        <v>321.80039960824286</v>
      </c>
      <c r="Y30" s="132">
        <f>$O$14</f>
        <v>0</v>
      </c>
      <c r="Z30" s="78"/>
      <c r="AA30" s="78"/>
      <c r="AB30" s="78"/>
      <c r="AC30" s="78"/>
    </row>
    <row r="31" spans="1:31" x14ac:dyDescent="0.25">
      <c r="A31" s="76">
        <v>20</v>
      </c>
      <c r="B31" s="128">
        <f>($A31)/($P$7)</f>
        <v>9514.9942156165253</v>
      </c>
      <c r="C31" s="129">
        <f>($Q$7)</f>
        <v>3.6719999999999999E-3</v>
      </c>
      <c r="D31" s="133">
        <f>($A31)/($P$8)</f>
        <v>1268.6658954155369</v>
      </c>
      <c r="E31" s="128">
        <f>($Q$8)</f>
        <v>18.59</v>
      </c>
      <c r="F31" s="128">
        <f>($A31)/($P$9)</f>
        <v>951.49942156165218</v>
      </c>
      <c r="G31" s="128">
        <f>($Q$9)</f>
        <v>5.931</v>
      </c>
      <c r="H31" s="128">
        <f>($A31)/($P$10)</f>
        <v>95149.942156165242</v>
      </c>
      <c r="I31" s="128">
        <f>($Q$10)</f>
        <v>1.027E-2</v>
      </c>
      <c r="J31" s="128">
        <f>($A31)/($P$11)</f>
        <v>95149.942156165242</v>
      </c>
      <c r="K31" s="128">
        <f>($Q$11)</f>
        <v>3.5200000000000002E-5</v>
      </c>
      <c r="L31" s="128">
        <f>($A31)/($P$12)</f>
        <v>79.085666207721758</v>
      </c>
      <c r="M31" s="128">
        <f>($Q$12)</f>
        <v>20.5</v>
      </c>
      <c r="N31" s="128">
        <f>($A31)/($P$15)</f>
        <v>562.24965819552199</v>
      </c>
      <c r="O31" s="128">
        <f>($Q$15)</f>
        <v>1.59</v>
      </c>
      <c r="P31" s="128">
        <f>($A31)/($P$16)</f>
        <v>850582.81624450767</v>
      </c>
      <c r="Q31" s="129">
        <f>($Q$16)</f>
        <v>2.33E-4</v>
      </c>
      <c r="R31" s="133">
        <f>($A31)/($P$17)</f>
        <v>850582.81624450767</v>
      </c>
      <c r="S31" s="128">
        <f>($Q$17)</f>
        <v>2.76E-5</v>
      </c>
      <c r="T31" s="128">
        <f>($A31)/($P$18)</f>
        <v>5466.3161213453513</v>
      </c>
      <c r="U31" s="132">
        <f>($Q$18)</f>
        <v>0.379</v>
      </c>
      <c r="V31" s="128">
        <f>($A31)/($P$13)</f>
        <v>128.1480702439936</v>
      </c>
      <c r="W31" s="132">
        <f>($Q$13)</f>
        <v>0</v>
      </c>
      <c r="X31" s="128">
        <f>($A31)/($P$14)</f>
        <v>205.95225574927542</v>
      </c>
      <c r="Y31" s="132">
        <f>($Q$14)</f>
        <v>0</v>
      </c>
      <c r="Z31" s="78"/>
      <c r="AA31" s="78"/>
      <c r="AB31" s="78"/>
      <c r="AC31" s="78"/>
    </row>
    <row r="32" spans="1:31" x14ac:dyDescent="0.25">
      <c r="A32" s="76">
        <v>10</v>
      </c>
      <c r="B32" s="128">
        <f>($A32)/($R$7)</f>
        <v>2378.7485539041313</v>
      </c>
      <c r="C32" s="129">
        <f>($S$7)</f>
        <v>6.1130000000000004E-3</v>
      </c>
      <c r="D32" s="133">
        <f>($A32)/($R$8)</f>
        <v>317.16647385388421</v>
      </c>
      <c r="E32" s="128">
        <f>($S$8)</f>
        <v>21.66</v>
      </c>
      <c r="F32" s="128">
        <f>($A32)/($R$9)</f>
        <v>237.87485539041305</v>
      </c>
      <c r="G32" s="128">
        <f>($S$9)</f>
        <v>9.19</v>
      </c>
      <c r="H32" s="128">
        <f>($A32)/($R$10)</f>
        <v>23787.48553904131</v>
      </c>
      <c r="I32" s="128">
        <f>($S$10)</f>
        <v>2.8379999999999999E-2</v>
      </c>
      <c r="J32" s="128">
        <f>($A32)/($R$11)</f>
        <v>23787.48553904131</v>
      </c>
      <c r="K32" s="128">
        <f>($S$11)</f>
        <v>1.2300000000000001E-4</v>
      </c>
      <c r="L32" s="128">
        <f>($A32)/($R$12)</f>
        <v>19.771416551930439</v>
      </c>
      <c r="M32" s="128">
        <f>($S$12)</f>
        <v>19.7</v>
      </c>
      <c r="N32" s="128">
        <f>($A32)/($R$15)</f>
        <v>140.5624145488805</v>
      </c>
      <c r="O32" s="128">
        <f>($S$15)</f>
        <v>2.21</v>
      </c>
      <c r="P32" s="128">
        <f>($A32)/($R$16)</f>
        <v>212645.70406112692</v>
      </c>
      <c r="Q32" s="129">
        <f>($S$16)</f>
        <v>3.3199999999999999E-4</v>
      </c>
      <c r="R32" s="133">
        <f>($A32)/($R$17)</f>
        <v>212645.70406112692</v>
      </c>
      <c r="S32" s="128">
        <f>($S$17)</f>
        <v>2.76E-5</v>
      </c>
      <c r="T32" s="128">
        <f>($A32)/($R$18)</f>
        <v>1366.5790303363378</v>
      </c>
      <c r="U32" s="132">
        <f>($S$18)</f>
        <v>0.90600000000000003</v>
      </c>
      <c r="V32" s="128">
        <f>($A32)/($R$13)</f>
        <v>32.0370175609984</v>
      </c>
      <c r="W32" s="132">
        <f>($S$13)</f>
        <v>0</v>
      </c>
      <c r="X32" s="128">
        <f>($A32)/($R$14)</f>
        <v>51.488063937318856</v>
      </c>
      <c r="Y32" s="132">
        <f>($S$14)</f>
        <v>0</v>
      </c>
      <c r="Z32" s="4"/>
      <c r="AA32" s="4"/>
      <c r="AB32" s="4"/>
      <c r="AC32" s="4"/>
    </row>
    <row r="33" spans="1:29" x14ac:dyDescent="0.25">
      <c r="A33" s="73">
        <v>5</v>
      </c>
      <c r="B33" s="128">
        <f>($A33)/($T$7)</f>
        <v>594.68713847603283</v>
      </c>
      <c r="C33" s="129">
        <f>($U$7)</f>
        <v>8.3639999999999999E-3</v>
      </c>
      <c r="D33" s="133">
        <f>($A33)/($T$8)</f>
        <v>79.291618463471053</v>
      </c>
      <c r="E33" s="128">
        <f>($U$8)</f>
        <v>23.62</v>
      </c>
      <c r="F33" s="128">
        <f>($A33)/($T$9)</f>
        <v>59.468713847603262</v>
      </c>
      <c r="G33" s="128">
        <f>($U$9)</f>
        <v>12</v>
      </c>
      <c r="H33" s="128">
        <f>($A33)/($T$10)</f>
        <v>5946.8713847603276</v>
      </c>
      <c r="I33" s="128">
        <f>($U$10)</f>
        <v>6.9760000000000003E-2</v>
      </c>
      <c r="J33" s="128">
        <f>($A33)/($T$11)</f>
        <v>5946.8713847603276</v>
      </c>
      <c r="K33" s="128">
        <f>($U$11)</f>
        <v>4.2700000000000002E-4</v>
      </c>
      <c r="L33" s="128">
        <f>($A33)/($T$12)</f>
        <v>4.9428541379826099</v>
      </c>
      <c r="M33" s="128">
        <f>($U$12)</f>
        <v>14</v>
      </c>
      <c r="N33" s="128">
        <f>($A33)/($T$15)</f>
        <v>35.140603637220124</v>
      </c>
      <c r="O33" s="128">
        <f>($U$15)</f>
        <v>2.4700000000000002</v>
      </c>
      <c r="P33" s="128">
        <f>($A33)/($T$16)</f>
        <v>53161.42601528173</v>
      </c>
      <c r="Q33" s="129">
        <f>($U$16)</f>
        <v>4.3899999999999999E-4</v>
      </c>
      <c r="R33" s="133">
        <f>($A33)/($T$17)</f>
        <v>53161.42601528173</v>
      </c>
      <c r="S33" s="128">
        <f>($U$17)</f>
        <v>2.76E-5</v>
      </c>
      <c r="T33" s="128">
        <f>($A33)/($T$18)</f>
        <v>341.64475758408446</v>
      </c>
      <c r="U33" s="132">
        <f>($U$18)</f>
        <v>2.3199999999999998</v>
      </c>
      <c r="V33" s="128">
        <f>($A33)/($T$13)</f>
        <v>8.0092543902496001</v>
      </c>
      <c r="W33" s="132">
        <f>($U$13)</f>
        <v>0</v>
      </c>
      <c r="X33" s="128">
        <f>($A33)/($T$14)</f>
        <v>12.872015984329714</v>
      </c>
      <c r="Y33" s="132">
        <f>($U$14)</f>
        <v>0</v>
      </c>
      <c r="Z33" s="4"/>
      <c r="AA33" s="4"/>
      <c r="AB33" s="4"/>
      <c r="AC33" s="4"/>
    </row>
    <row r="34" spans="1:29" x14ac:dyDescent="0.25">
      <c r="A34" s="73">
        <v>1</v>
      </c>
      <c r="B34" s="128">
        <f>($A34)/($V$7)</f>
        <v>23.787485539041313</v>
      </c>
      <c r="C34" s="129">
        <f>($W$7)</f>
        <v>1.172E-2</v>
      </c>
      <c r="D34" s="133">
        <f>($A34)/($V$8)</f>
        <v>3.1716647385388419</v>
      </c>
      <c r="E34" s="128">
        <f>($W$8)</f>
        <v>16.02</v>
      </c>
      <c r="F34" s="128">
        <f>($A34)/($V$9)</f>
        <v>2.3787485539041304</v>
      </c>
      <c r="G34" s="128">
        <f>($W$9)</f>
        <v>8.8089999999999993</v>
      </c>
      <c r="H34" s="128">
        <f>($A34)/($V$10)</f>
        <v>237.8748553904131</v>
      </c>
      <c r="I34" s="128">
        <f>($W$10)</f>
        <v>0.20080000000000001</v>
      </c>
      <c r="J34" s="128">
        <f>($A34)/($V$11)</f>
        <v>237.8748553904131</v>
      </c>
      <c r="K34" s="128">
        <f>($W$11)</f>
        <v>3.3700000000000002E-3</v>
      </c>
      <c r="L34" s="128">
        <f>($A34)/($V$12)</f>
        <v>0.1977141655193044</v>
      </c>
      <c r="M34" s="128">
        <f>($W$12)</f>
        <v>4.79</v>
      </c>
      <c r="N34" s="128">
        <f>($A34)/($V$15)</f>
        <v>1.405624145488805</v>
      </c>
      <c r="O34" s="128">
        <f>($W$15)</f>
        <v>1.2</v>
      </c>
      <c r="P34" s="128">
        <f>($A34)/($V$16)</f>
        <v>2126.4570406112689</v>
      </c>
      <c r="Q34" s="129">
        <f>($W$16)</f>
        <v>1.8799999999999999E-3</v>
      </c>
      <c r="R34" s="133">
        <f>($A34)/($V$17)</f>
        <v>2126.4570406112689</v>
      </c>
      <c r="S34" s="128">
        <f>($W$17)</f>
        <v>1.11E-4</v>
      </c>
      <c r="T34" s="128">
        <f>($A34)/($V$18)</f>
        <v>13.665790303363378</v>
      </c>
      <c r="U34" s="132">
        <f>($W$18)</f>
        <v>13.4</v>
      </c>
      <c r="V34" s="128">
        <f>($A34)/($V$13)</f>
        <v>0.32037017560998399</v>
      </c>
      <c r="W34" s="132">
        <f>($W$13)</f>
        <v>0</v>
      </c>
      <c r="X34" s="128">
        <f>($A34)/($V$14)</f>
        <v>0.51488063937318851</v>
      </c>
      <c r="Y34" s="132">
        <f>($W$14)</f>
        <v>0</v>
      </c>
      <c r="Z34" s="4"/>
      <c r="AA34" s="4"/>
      <c r="AB34" s="4"/>
      <c r="AC34" s="4"/>
    </row>
    <row r="35" spans="1:29" x14ac:dyDescent="0.25">
      <c r="A35" s="73">
        <v>0.1</v>
      </c>
      <c r="B35" s="128">
        <f>($A35)/($X$7)</f>
        <v>0.23787485539041317</v>
      </c>
      <c r="C35" s="129">
        <f>($Y$7)</f>
        <v>1.278E-2</v>
      </c>
      <c r="D35" s="133">
        <f>($A35)/($X$8)</f>
        <v>3.1716647385388423E-2</v>
      </c>
      <c r="E35" s="128">
        <f>($Y$8)</f>
        <v>2.0299999999999998</v>
      </c>
      <c r="F35" s="128">
        <f>($A35)/($X$9)</f>
        <v>2.3787485539041309E-2</v>
      </c>
      <c r="G35" s="128">
        <f>($Y$9)</f>
        <v>1.0009999999999999</v>
      </c>
      <c r="H35" s="128">
        <f>($A35)/($X$10)</f>
        <v>2.3787485539041313</v>
      </c>
      <c r="I35" s="128">
        <f>($Y$10)</f>
        <v>0.21190000000000001</v>
      </c>
      <c r="J35" s="128">
        <f>($A35)/($X$11)</f>
        <v>2.3787485539041313</v>
      </c>
      <c r="K35" s="128">
        <f>($Y$11)</f>
        <v>2.7900000000000001E-2</v>
      </c>
      <c r="L35" s="128">
        <f>($A35)/($X$12)</f>
        <v>1.9771416551930443E-3</v>
      </c>
      <c r="M35" s="128">
        <f>($Y$12)</f>
        <v>0.63700000000000001</v>
      </c>
      <c r="N35" s="128">
        <f>($A35)/($X$15)</f>
        <v>1.4056241454888051E-2</v>
      </c>
      <c r="O35" s="128">
        <f>($Y$15)</f>
        <v>0.307</v>
      </c>
      <c r="P35" s="128">
        <f>($A35)/($X$16)</f>
        <v>21.264570406112693</v>
      </c>
      <c r="Q35" s="129">
        <f>($Y$16)</f>
        <v>1.8200000000000001E-2</v>
      </c>
      <c r="R35" s="133">
        <f>($A35)/($X$17)</f>
        <v>21.264570406112693</v>
      </c>
      <c r="S35" s="128">
        <f>($Y$17)</f>
        <v>5.6499999999999996E-3</v>
      </c>
      <c r="T35" s="128">
        <f>($A35)/($X$18)</f>
        <v>0.13665790303363379</v>
      </c>
      <c r="U35" s="132">
        <f>($Y$18)</f>
        <v>19.8</v>
      </c>
      <c r="V35" s="128">
        <f>($A35)/($X$13)</f>
        <v>3.2037017560998401E-3</v>
      </c>
      <c r="W35" s="132">
        <f>($Y$13)</f>
        <v>0</v>
      </c>
      <c r="X35" s="128">
        <f>($A35)/($X$14)</f>
        <v>5.1488063937318862E-3</v>
      </c>
      <c r="Y35" s="132">
        <f>($Y$14)</f>
        <v>0</v>
      </c>
      <c r="Z35" s="4"/>
      <c r="AA35" s="4"/>
      <c r="AB35" s="4"/>
      <c r="AC35" s="4"/>
    </row>
    <row r="36" spans="1:29" x14ac:dyDescent="0.25">
      <c r="A36" s="73">
        <v>0.01</v>
      </c>
      <c r="B36" s="128">
        <f>($A36)/($Z$7)</f>
        <v>2.3787485539041317E-3</v>
      </c>
      <c r="C36" s="129">
        <f>($AA$7)</f>
        <v>6.5620000000000001E-3</v>
      </c>
      <c r="D36" s="133">
        <f>($A36)/($Z$8)</f>
        <v>3.1716647385388421E-4</v>
      </c>
      <c r="E36" s="128">
        <f>($AA$8)</f>
        <v>0.20979999999999999</v>
      </c>
      <c r="F36" s="128">
        <f>($A36)/($Z$9)</f>
        <v>2.3787485539041308E-4</v>
      </c>
      <c r="G36" s="128">
        <f>($AA$9)</f>
        <v>0.14099999999999999</v>
      </c>
      <c r="H36" s="128">
        <f>($A36)/($Z$10)</f>
        <v>2.3787485539041309E-2</v>
      </c>
      <c r="I36" s="128">
        <f>($AA$10)</f>
        <v>0.1469</v>
      </c>
      <c r="J36" s="128">
        <f>($A36)/($Z$11)</f>
        <v>2.3787485539041309E-2</v>
      </c>
      <c r="K36" s="128">
        <f>($AA$11)</f>
        <v>8.2199999999999995E-2</v>
      </c>
      <c r="L36" s="128">
        <f>($A36)/($Z$12)</f>
        <v>1.9771416551930438E-5</v>
      </c>
      <c r="M36" s="128">
        <f>($AA$12)</f>
        <v>0.184</v>
      </c>
      <c r="N36" s="128">
        <f>($A36)/($Z$15)</f>
        <v>1.4056241454888052E-4</v>
      </c>
      <c r="O36" s="128">
        <f>($AA$15)</f>
        <v>0.17499999999999999</v>
      </c>
      <c r="P36" s="128">
        <f>($A36)/($Z$16)</f>
        <v>0.2126457040611269</v>
      </c>
      <c r="Q36" s="129">
        <f>($AA$16)</f>
        <v>9.9900000000000003E-2</v>
      </c>
      <c r="R36" s="133">
        <f>($A36)/($Z$17)</f>
        <v>0.2126457040611269</v>
      </c>
      <c r="S36" s="128">
        <f>($AA$17)</f>
        <v>8.1299999999999997E-2</v>
      </c>
      <c r="T36" s="128">
        <f>($A36)/($Z$18)</f>
        <v>1.3665790303363378E-3</v>
      </c>
      <c r="U36" s="132">
        <f>($AA$18)</f>
        <v>2.72</v>
      </c>
      <c r="V36" s="128">
        <f>($A36)/($Z$13)</f>
        <v>3.2037017560998403E-5</v>
      </c>
      <c r="W36" s="132">
        <f>($AA$13)</f>
        <v>0</v>
      </c>
      <c r="X36" s="128">
        <f>($A36)/($Z$14)</f>
        <v>5.1488063937318858E-5</v>
      </c>
      <c r="Y36" s="132">
        <f>($AA$14)</f>
        <v>0</v>
      </c>
    </row>
    <row r="37" spans="1:29" ht="15.75" thickBot="1" x14ac:dyDescent="0.3">
      <c r="A37" s="73">
        <v>1E-3</v>
      </c>
      <c r="B37" s="134">
        <f>($A37)/($AB$7)</f>
        <v>2.3787485539041313E-5</v>
      </c>
      <c r="C37" s="135">
        <f>($AC$7)</f>
        <v>4.3150000000000003E-3</v>
      </c>
      <c r="D37" s="136">
        <f>($A37)/($AB$8)</f>
        <v>3.1716647385388424E-6</v>
      </c>
      <c r="E37" s="134">
        <f>($AC$8)</f>
        <v>2.6100000000000002E-2</v>
      </c>
      <c r="F37" s="134">
        <f>($A37)/($AB$9)</f>
        <v>2.3787485539041306E-6</v>
      </c>
      <c r="G37" s="134">
        <f>($AC$9)</f>
        <v>4.6339999999999999E-2</v>
      </c>
      <c r="H37" s="134">
        <f>($A37)/($AB$10)</f>
        <v>2.378748553904131E-4</v>
      </c>
      <c r="I37" s="134">
        <f>($AC$10)</f>
        <v>6.1499999999999999E-2</v>
      </c>
      <c r="J37" s="134">
        <f>($A37)/($AB$11)</f>
        <v>2.378748553904131E-4</v>
      </c>
      <c r="K37" s="134">
        <f>($AC$11)</f>
        <v>6.5000000000000002E-2</v>
      </c>
      <c r="L37" s="134">
        <f>($A37)/($AB$12)</f>
        <v>1.9771416551930442E-7</v>
      </c>
      <c r="M37" s="134">
        <f>($AC$12)</f>
        <v>0.111</v>
      </c>
      <c r="N37" s="134">
        <f>($A37)/($AB$15)</f>
        <v>1.4056241454888049E-6</v>
      </c>
      <c r="O37" s="134">
        <f>($AC$15)</f>
        <v>0.129</v>
      </c>
      <c r="P37" s="134">
        <f>($A37)/($AB$16)</f>
        <v>2.1264570406112691E-3</v>
      </c>
      <c r="Q37" s="135">
        <f>($AC$16)</f>
        <v>0.20799999999999999</v>
      </c>
      <c r="R37" s="136">
        <f>($A37)/($AB$17)</f>
        <v>2.1264570406112691E-3</v>
      </c>
      <c r="S37" s="134">
        <f>($AC$17)</f>
        <v>0.216</v>
      </c>
      <c r="T37" s="134">
        <f>($A37)/($AB$18)</f>
        <v>1.3665790303363378E-5</v>
      </c>
      <c r="U37" s="137">
        <f>($AC$18)</f>
        <v>0.27500000000000002</v>
      </c>
      <c r="V37" s="134">
        <f>($A37)/($AB$13)</f>
        <v>3.2037017560998406E-7</v>
      </c>
      <c r="W37" s="137">
        <f>($AC$13)</f>
        <v>0</v>
      </c>
      <c r="X37" s="134">
        <f>($A37)/($AB$14)</f>
        <v>5.1488063937318864E-7</v>
      </c>
      <c r="Y37" s="137">
        <f>($AC$14)</f>
        <v>0</v>
      </c>
    </row>
    <row r="38" spans="1:29" ht="15.75" customHeight="1" thickBot="1" x14ac:dyDescent="0.3">
      <c r="A38" s="449" t="s">
        <v>24</v>
      </c>
      <c r="B38" s="5"/>
      <c r="C38" s="4"/>
      <c r="D38" s="5"/>
      <c r="E38" s="4"/>
      <c r="P38" s="134">
        <f>(0.0001)/($AD$16)</f>
        <v>2.1264570406112695E-5</v>
      </c>
      <c r="Q38" s="135">
        <f>($AE$16)</f>
        <v>0.157</v>
      </c>
      <c r="R38" s="136">
        <f>(0.0001)/($AD$17)</f>
        <v>2.1264570406112695E-5</v>
      </c>
      <c r="S38" s="134">
        <f>($AE$17)</f>
        <v>0.16800000000000001</v>
      </c>
    </row>
    <row r="39" spans="1:29" x14ac:dyDescent="0.25">
      <c r="A39" s="449"/>
    </row>
    <row r="41" spans="1:29" x14ac:dyDescent="0.25">
      <c r="B41" s="77"/>
    </row>
    <row r="42" spans="1:29" x14ac:dyDescent="0.25">
      <c r="B42" s="77"/>
    </row>
    <row r="43" spans="1:29" x14ac:dyDescent="0.25">
      <c r="B43" s="77"/>
    </row>
    <row r="44" spans="1:29" x14ac:dyDescent="0.25">
      <c r="B44" s="77"/>
    </row>
    <row r="45" spans="1:29" x14ac:dyDescent="0.25">
      <c r="B45" s="77"/>
    </row>
    <row r="69" spans="4:9" x14ac:dyDescent="0.25">
      <c r="D69" s="76"/>
      <c r="G69" s="76"/>
      <c r="H69" s="76"/>
      <c r="I69" s="76"/>
    </row>
  </sheetData>
  <mergeCells count="18">
    <mergeCell ref="A3:N3"/>
    <mergeCell ref="F4:O4"/>
    <mergeCell ref="A21:H21"/>
    <mergeCell ref="B23:C23"/>
    <mergeCell ref="D23:E23"/>
    <mergeCell ref="F23:G23"/>
    <mergeCell ref="H23:I23"/>
    <mergeCell ref="J23:K23"/>
    <mergeCell ref="L23:M23"/>
    <mergeCell ref="AD8:AD15"/>
    <mergeCell ref="AE8:AE15"/>
    <mergeCell ref="A38:A39"/>
    <mergeCell ref="N23:O23"/>
    <mergeCell ref="P23:Q23"/>
    <mergeCell ref="R23:S23"/>
    <mergeCell ref="T23:U23"/>
    <mergeCell ref="V23:W23"/>
    <mergeCell ref="X23:Y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E140"/>
  <sheetViews>
    <sheetView workbookViewId="0">
      <selection sqref="A1:XFD1"/>
    </sheetView>
  </sheetViews>
  <sheetFormatPr defaultRowHeight="15" x14ac:dyDescent="0.25"/>
  <cols>
    <col min="1" max="1" width="15" bestFit="1" customWidth="1"/>
    <col min="2" max="2" width="15.5703125" customWidth="1"/>
    <col min="3" max="3" width="14.42578125" customWidth="1"/>
    <col min="4" max="4" width="11.140625" customWidth="1"/>
    <col min="5" max="5" width="10.5703125" customWidth="1"/>
    <col min="6" max="6" width="12.7109375" customWidth="1"/>
    <col min="7" max="7" width="12.28515625" customWidth="1"/>
    <col min="8" max="8" width="18.28515625" customWidth="1"/>
    <col min="9" max="9" width="15" bestFit="1" customWidth="1"/>
    <col min="10" max="10" width="17.7109375" bestFit="1" customWidth="1"/>
    <col min="11" max="11" width="11" customWidth="1"/>
    <col min="12" max="13" width="17.5703125" customWidth="1"/>
    <col min="14" max="14" width="19.85546875" customWidth="1"/>
    <col min="15" max="29" width="16.140625" customWidth="1"/>
    <col min="30" max="30" width="17.140625" customWidth="1"/>
    <col min="31" max="31" width="10.7109375" customWidth="1"/>
  </cols>
  <sheetData>
    <row r="2" spans="1:31" ht="15.75" thickBot="1" x14ac:dyDescent="0.3"/>
    <row r="3" spans="1:31" ht="15.75" thickBot="1" x14ac:dyDescent="0.3">
      <c r="A3" s="410"/>
      <c r="B3" s="411"/>
      <c r="C3" s="411"/>
      <c r="D3" s="411"/>
      <c r="E3" s="411"/>
      <c r="F3" s="411"/>
      <c r="G3" s="411"/>
      <c r="H3" s="411"/>
      <c r="I3" s="411"/>
      <c r="J3" s="411"/>
      <c r="K3" s="411"/>
      <c r="L3" s="411"/>
      <c r="M3" s="411"/>
      <c r="N3" s="412"/>
      <c r="O3" s="124"/>
      <c r="P3" s="124"/>
      <c r="Q3" s="124"/>
      <c r="R3" s="124"/>
      <c r="S3" s="124"/>
      <c r="T3" s="124"/>
      <c r="U3" s="124"/>
      <c r="V3" s="124"/>
      <c r="W3" s="124"/>
      <c r="X3" s="124"/>
      <c r="Y3" s="124"/>
      <c r="Z3" s="124"/>
      <c r="AA3" s="124"/>
      <c r="AB3" s="124"/>
      <c r="AC3" s="124"/>
      <c r="AD3" s="124"/>
    </row>
    <row r="4" spans="1:31" ht="15.75" customHeight="1" thickBot="1" x14ac:dyDescent="0.3">
      <c r="A4" s="35"/>
      <c r="B4" s="36"/>
      <c r="C4" s="36"/>
      <c r="D4" s="148"/>
      <c r="E4" s="37"/>
      <c r="F4" s="425" t="s">
        <v>117</v>
      </c>
      <c r="G4" s="426"/>
      <c r="H4" s="426"/>
      <c r="I4" s="426"/>
      <c r="J4" s="426"/>
      <c r="K4" s="426"/>
      <c r="L4" s="426"/>
      <c r="M4" s="426"/>
      <c r="N4" s="426"/>
      <c r="O4" s="426"/>
      <c r="P4" s="71"/>
      <c r="Q4" s="71"/>
      <c r="R4" s="71"/>
      <c r="S4" s="71"/>
      <c r="T4" s="71"/>
      <c r="U4" s="72"/>
      <c r="X4" s="33"/>
      <c r="Y4" s="33"/>
      <c r="Z4" s="33"/>
      <c r="AA4" s="33"/>
      <c r="AB4" s="33"/>
      <c r="AC4" s="33"/>
      <c r="AD4" s="33"/>
    </row>
    <row r="5" spans="1:31" ht="63" thickBot="1" x14ac:dyDescent="0.3">
      <c r="A5" s="352" t="s">
        <v>150</v>
      </c>
      <c r="B5" s="353" t="s">
        <v>224</v>
      </c>
      <c r="C5" s="353" t="s">
        <v>225</v>
      </c>
      <c r="D5" s="353" t="s">
        <v>226</v>
      </c>
      <c r="E5" s="16" t="s">
        <v>227</v>
      </c>
      <c r="F5" s="20" t="s">
        <v>16</v>
      </c>
      <c r="G5" s="72" t="s">
        <v>15</v>
      </c>
      <c r="H5" s="84" t="s">
        <v>33</v>
      </c>
      <c r="I5" s="84" t="s">
        <v>37</v>
      </c>
      <c r="J5" s="15" t="s">
        <v>34</v>
      </c>
      <c r="K5" s="86" t="s">
        <v>38</v>
      </c>
      <c r="L5" s="100" t="s">
        <v>35</v>
      </c>
      <c r="M5" s="84" t="s">
        <v>39</v>
      </c>
      <c r="N5" s="90" t="s">
        <v>36</v>
      </c>
      <c r="O5" s="86" t="s">
        <v>40</v>
      </c>
      <c r="P5" s="100" t="s">
        <v>41</v>
      </c>
      <c r="Q5" s="84" t="s">
        <v>42</v>
      </c>
      <c r="R5" s="15" t="s">
        <v>43</v>
      </c>
      <c r="S5" s="86" t="s">
        <v>44</v>
      </c>
      <c r="T5" s="84" t="s">
        <v>45</v>
      </c>
      <c r="U5" s="84" t="s">
        <v>46</v>
      </c>
      <c r="V5" s="90" t="s">
        <v>47</v>
      </c>
      <c r="W5" s="91" t="s">
        <v>48</v>
      </c>
      <c r="X5" s="84" t="s">
        <v>49</v>
      </c>
      <c r="Y5" s="84" t="s">
        <v>50</v>
      </c>
      <c r="Z5" s="90" t="s">
        <v>51</v>
      </c>
      <c r="AA5" s="91" t="s">
        <v>52</v>
      </c>
      <c r="AB5" s="84" t="s">
        <v>53</v>
      </c>
      <c r="AC5" s="84" t="s">
        <v>54</v>
      </c>
      <c r="AD5" s="33"/>
    </row>
    <row r="6" spans="1:31" x14ac:dyDescent="0.25">
      <c r="A6" s="2" t="s">
        <v>1</v>
      </c>
      <c r="B6" s="75">
        <v>30</v>
      </c>
      <c r="C6" s="75"/>
      <c r="D6" s="139">
        <v>10</v>
      </c>
      <c r="E6" s="138">
        <f>(D6)*1000000</f>
        <v>10000000</v>
      </c>
      <c r="F6" s="223">
        <f>(((E6)/(B6))/1000)*2.20462</f>
        <v>734.87333333333322</v>
      </c>
      <c r="G6" s="224">
        <f>(F6)/90</f>
        <v>8.1652592592592583</v>
      </c>
      <c r="H6" s="94">
        <f>(($G6)*0.0283168)/500</f>
        <v>4.6242802678518515E-4</v>
      </c>
      <c r="I6" s="85"/>
      <c r="J6" s="94">
        <f>(($G6)*0.0283168)/250</f>
        <v>9.248560535703703E-4</v>
      </c>
      <c r="K6" s="213"/>
      <c r="L6" s="94">
        <f>(($G6)*0.0283168)/100</f>
        <v>2.3121401339259258E-3</v>
      </c>
      <c r="M6" s="213"/>
      <c r="N6" s="94">
        <f>(($G6)*0.0283168)/25</f>
        <v>9.248560535703703E-3</v>
      </c>
      <c r="O6" s="225"/>
      <c r="P6" s="94">
        <f>(($G6)*0.0283168)/20</f>
        <v>1.1560700669629628E-2</v>
      </c>
      <c r="Q6" s="215"/>
      <c r="R6" s="94">
        <f>(($G6)*0.0283168)/10</f>
        <v>2.3121401339259256E-2</v>
      </c>
      <c r="S6" s="221"/>
      <c r="T6" s="94">
        <f>(($G6)*0.0283168)/5</f>
        <v>4.6242802678518512E-2</v>
      </c>
      <c r="U6" s="219"/>
      <c r="V6" s="94">
        <f>(($G6)*0.0283168)/1</f>
        <v>0.23121401339259257</v>
      </c>
      <c r="W6" s="215"/>
      <c r="X6" s="102">
        <f>(($G6)*0.0283168)/0.1</f>
        <v>2.3121401339259253</v>
      </c>
      <c r="Y6" s="219"/>
      <c r="Z6" s="94">
        <f>(($G6)*0.0283168)/0.01</f>
        <v>23.121401339259258</v>
      </c>
      <c r="AA6" s="215"/>
      <c r="AB6" s="94">
        <f>(($G6)*0.0283168)/0.001</f>
        <v>231.21401339259256</v>
      </c>
      <c r="AC6" s="221"/>
      <c r="AD6" s="25"/>
    </row>
    <row r="7" spans="1:31" ht="15.75" thickBot="1" x14ac:dyDescent="0.3">
      <c r="A7" s="2" t="s">
        <v>2</v>
      </c>
      <c r="B7" s="75">
        <v>30</v>
      </c>
      <c r="C7" s="75"/>
      <c r="D7" s="140">
        <v>1</v>
      </c>
      <c r="E7" s="138">
        <f t="shared" ref="E7:E18" si="0">(D7)*1000000</f>
        <v>1000000</v>
      </c>
      <c r="F7" s="223">
        <f t="shared" ref="F7:F18" si="1">(((E7)/(B7))/1000)*2.20462</f>
        <v>73.487333333333325</v>
      </c>
      <c r="G7" s="224">
        <f t="shared" ref="G7:G18" si="2">(F7)/90</f>
        <v>0.81652592592592588</v>
      </c>
      <c r="H7" s="95">
        <f t="shared" ref="H7:H18" si="3">(($G7)*0.0283168)/500</f>
        <v>4.624280267851851E-5</v>
      </c>
      <c r="I7" s="211">
        <v>1.34E-4</v>
      </c>
      <c r="J7" s="95">
        <f t="shared" ref="J7:J18" si="4">(($G7)*0.0283168)/250</f>
        <v>9.248560535703702E-5</v>
      </c>
      <c r="K7" s="213">
        <v>1.5799999999999999E-4</v>
      </c>
      <c r="L7" s="95">
        <f t="shared" ref="L7:L18" si="5">(($G7)*0.0283168)/100</f>
        <v>2.3121401339259255E-4</v>
      </c>
      <c r="M7" s="213">
        <v>3.6099999999999999E-4</v>
      </c>
      <c r="N7" s="95">
        <f t="shared" ref="N7:N18" si="6">(($G7)*0.0283168)/25</f>
        <v>9.248560535703702E-4</v>
      </c>
      <c r="O7" s="213">
        <v>1.75E-3</v>
      </c>
      <c r="P7" s="95">
        <f t="shared" ref="P7:P18" si="7">(($G7)*0.0283168)/20</f>
        <v>1.1560700669629629E-3</v>
      </c>
      <c r="Q7" s="211">
        <v>2.2499999999999998E-3</v>
      </c>
      <c r="R7" s="95">
        <f t="shared" ref="R7:R18" si="8">(($G7)*0.0283168)/10</f>
        <v>2.3121401339259258E-3</v>
      </c>
      <c r="S7" s="222">
        <v>4.4799999999999996E-3</v>
      </c>
      <c r="T7" s="95">
        <f t="shared" ref="T7:T18" si="9">(($G7)*0.0283168)/5</f>
        <v>4.6242802678518515E-3</v>
      </c>
      <c r="U7" s="220">
        <v>7.2399999999999999E-3</v>
      </c>
      <c r="V7" s="95">
        <f t="shared" ref="V7:V18" si="10">(($G7)*0.0283168)/1</f>
        <v>2.3121401339259256E-2</v>
      </c>
      <c r="W7" s="211">
        <v>1.23E-2</v>
      </c>
      <c r="X7" s="102">
        <f t="shared" ref="X7:X18" si="11">(($G7)*0.0283168)/0.1</f>
        <v>0.23121401339259254</v>
      </c>
      <c r="Y7" s="220">
        <v>1.9199999999999998E-2</v>
      </c>
      <c r="Z7" s="95">
        <f t="shared" ref="Z7:Z18" si="12">(($G7)*0.0283168)/0.01</f>
        <v>2.3121401339259253</v>
      </c>
      <c r="AA7" s="211">
        <v>1.1900000000000001E-2</v>
      </c>
      <c r="AB7" s="95">
        <f t="shared" ref="AB7:AB18" si="13">(($G7)*0.0283168)/0.001</f>
        <v>23.121401339259254</v>
      </c>
      <c r="AC7" s="222">
        <v>7.8399999999999997E-3</v>
      </c>
      <c r="AD7" s="25"/>
    </row>
    <row r="8" spans="1:31" ht="15.75" thickBot="1" x14ac:dyDescent="0.3">
      <c r="A8" s="2" t="s">
        <v>3</v>
      </c>
      <c r="B8" s="75">
        <v>30</v>
      </c>
      <c r="C8" s="75"/>
      <c r="D8" s="149">
        <v>7.5</v>
      </c>
      <c r="E8" s="138">
        <f t="shared" si="0"/>
        <v>7500000</v>
      </c>
      <c r="F8" s="223">
        <f t="shared" si="1"/>
        <v>551.15499999999997</v>
      </c>
      <c r="G8" s="224">
        <f t="shared" si="2"/>
        <v>6.1239444444444437</v>
      </c>
      <c r="H8" s="95">
        <f t="shared" si="3"/>
        <v>3.4682102008888881E-4</v>
      </c>
      <c r="I8" s="101">
        <v>0.28470000000000001</v>
      </c>
      <c r="J8" s="95">
        <f t="shared" si="4"/>
        <v>6.9364204017777762E-4</v>
      </c>
      <c r="K8" s="153">
        <v>1.0780000000000001</v>
      </c>
      <c r="L8" s="95">
        <f t="shared" si="5"/>
        <v>1.7341051004444441E-3</v>
      </c>
      <c r="M8" s="153">
        <v>5.9470000000000001</v>
      </c>
      <c r="N8" s="95">
        <f t="shared" si="6"/>
        <v>6.9364204017777764E-3</v>
      </c>
      <c r="O8" s="153">
        <v>15.45</v>
      </c>
      <c r="P8" s="95">
        <f t="shared" si="7"/>
        <v>8.6705255022222205E-3</v>
      </c>
      <c r="Q8" s="101">
        <v>17.12</v>
      </c>
      <c r="R8" s="95">
        <f t="shared" si="8"/>
        <v>1.7341051004444441E-2</v>
      </c>
      <c r="S8" s="88">
        <v>21.62</v>
      </c>
      <c r="T8" s="95">
        <f t="shared" si="9"/>
        <v>3.4682102008888882E-2</v>
      </c>
      <c r="U8" s="89">
        <v>24.65</v>
      </c>
      <c r="V8" s="95">
        <f t="shared" si="10"/>
        <v>0.17341051004444441</v>
      </c>
      <c r="W8" s="101">
        <v>23.15</v>
      </c>
      <c r="X8" s="102">
        <f t="shared" si="11"/>
        <v>1.7341051004444441</v>
      </c>
      <c r="Y8" s="89">
        <v>3.67</v>
      </c>
      <c r="Z8" s="95">
        <f t="shared" si="12"/>
        <v>17.341051004444441</v>
      </c>
      <c r="AA8" s="101">
        <v>0.38150000000000001</v>
      </c>
      <c r="AB8" s="95">
        <f t="shared" si="13"/>
        <v>173.41051004444441</v>
      </c>
      <c r="AC8" s="88">
        <v>4.7449999999999999E-2</v>
      </c>
      <c r="AD8" s="25"/>
    </row>
    <row r="9" spans="1:31" ht="17.25" customHeight="1" x14ac:dyDescent="0.25">
      <c r="A9" s="2" t="s">
        <v>4</v>
      </c>
      <c r="B9" s="75">
        <v>30</v>
      </c>
      <c r="C9" s="75"/>
      <c r="D9" s="140">
        <v>10</v>
      </c>
      <c r="E9" s="138">
        <f t="shared" si="0"/>
        <v>10000000</v>
      </c>
      <c r="F9" s="223">
        <f t="shared" si="1"/>
        <v>734.87333333333322</v>
      </c>
      <c r="G9" s="224">
        <f t="shared" si="2"/>
        <v>8.1652592592592583</v>
      </c>
      <c r="H9" s="95">
        <f t="shared" si="3"/>
        <v>4.6242802678518515E-4</v>
      </c>
      <c r="I9" s="211">
        <v>6.08E-2</v>
      </c>
      <c r="J9" s="95">
        <f t="shared" si="4"/>
        <v>9.248560535703703E-4</v>
      </c>
      <c r="K9" s="213">
        <v>0.214</v>
      </c>
      <c r="L9" s="95">
        <f t="shared" si="5"/>
        <v>2.3121401339259258E-3</v>
      </c>
      <c r="M9" s="213">
        <v>1.03</v>
      </c>
      <c r="N9" s="95">
        <f t="shared" si="6"/>
        <v>9.248560535703703E-3</v>
      </c>
      <c r="O9" s="213">
        <v>4.8099999999999996</v>
      </c>
      <c r="P9" s="95">
        <f t="shared" si="7"/>
        <v>1.1560700669629628E-2</v>
      </c>
      <c r="Q9" s="211">
        <v>5.74</v>
      </c>
      <c r="R9" s="95">
        <f t="shared" si="8"/>
        <v>2.3121401339259256E-2</v>
      </c>
      <c r="S9" s="222">
        <v>8.5</v>
      </c>
      <c r="T9" s="95">
        <f t="shared" si="9"/>
        <v>4.6242802678518512E-2</v>
      </c>
      <c r="U9" s="220">
        <v>12.2</v>
      </c>
      <c r="V9" s="95">
        <f t="shared" si="10"/>
        <v>0.23121401339259257</v>
      </c>
      <c r="W9" s="211">
        <v>13.4</v>
      </c>
      <c r="X9" s="102">
        <f t="shared" si="11"/>
        <v>2.3121401339259253</v>
      </c>
      <c r="Y9" s="220">
        <v>1.82</v>
      </c>
      <c r="Z9" s="95">
        <f t="shared" si="12"/>
        <v>23.121401339259258</v>
      </c>
      <c r="AA9" s="211">
        <v>0.25600000000000001</v>
      </c>
      <c r="AB9" s="95">
        <f t="shared" si="13"/>
        <v>231.21401339259256</v>
      </c>
      <c r="AC9" s="222">
        <v>8.43E-2</v>
      </c>
      <c r="AD9" s="445" t="s">
        <v>59</v>
      </c>
      <c r="AE9" s="447" t="s">
        <v>60</v>
      </c>
    </row>
    <row r="10" spans="1:31" x14ac:dyDescent="0.25">
      <c r="A10" s="2" t="s">
        <v>5</v>
      </c>
      <c r="B10" s="166">
        <v>30</v>
      </c>
      <c r="C10" s="75"/>
      <c r="D10" s="140">
        <v>0.1</v>
      </c>
      <c r="E10" s="138">
        <f t="shared" si="0"/>
        <v>100000</v>
      </c>
      <c r="F10" s="223">
        <f t="shared" si="1"/>
        <v>7.3487333333333327</v>
      </c>
      <c r="G10" s="224">
        <f t="shared" si="2"/>
        <v>8.1652592592592582E-2</v>
      </c>
      <c r="H10" s="95">
        <f t="shared" si="3"/>
        <v>4.6242802678518513E-6</v>
      </c>
      <c r="I10" s="211">
        <v>4.9100000000000001E-4</v>
      </c>
      <c r="J10" s="95">
        <f t="shared" si="4"/>
        <v>9.2485605357037026E-6</v>
      </c>
      <c r="K10" s="213">
        <v>4.1599999999999997E-4</v>
      </c>
      <c r="L10" s="95">
        <f t="shared" si="5"/>
        <v>2.3121401339259258E-5</v>
      </c>
      <c r="M10" s="213">
        <v>7.6199999999999998E-4</v>
      </c>
      <c r="N10" s="95">
        <f t="shared" si="6"/>
        <v>9.2485605357037033E-5</v>
      </c>
      <c r="O10" s="213">
        <v>4.13E-3</v>
      </c>
      <c r="P10" s="95">
        <f t="shared" si="7"/>
        <v>1.1560700669629629E-4</v>
      </c>
      <c r="Q10" s="211">
        <v>5.8500000000000002E-3</v>
      </c>
      <c r="R10" s="95">
        <f t="shared" si="8"/>
        <v>2.3121401339259258E-4</v>
      </c>
      <c r="S10" s="222">
        <v>1.6199999999999999E-2</v>
      </c>
      <c r="T10" s="95">
        <f t="shared" si="9"/>
        <v>4.6242802678518515E-4</v>
      </c>
      <c r="U10" s="220">
        <v>4.0599999999999997E-2</v>
      </c>
      <c r="V10" s="95">
        <f t="shared" si="10"/>
        <v>2.3121401339259258E-3</v>
      </c>
      <c r="W10" s="211">
        <v>0.17799999999999999</v>
      </c>
      <c r="X10" s="102">
        <f t="shared" si="11"/>
        <v>2.3121401339259256E-2</v>
      </c>
      <c r="Y10" s="220">
        <v>0.219</v>
      </c>
      <c r="Z10" s="95">
        <f t="shared" si="12"/>
        <v>0.23121401339259257</v>
      </c>
      <c r="AA10" s="211">
        <v>0.245</v>
      </c>
      <c r="AB10" s="95">
        <f t="shared" si="13"/>
        <v>2.3121401339259258</v>
      </c>
      <c r="AC10" s="222">
        <v>0.11899999999999999</v>
      </c>
      <c r="AD10" s="445"/>
      <c r="AE10" s="447"/>
    </row>
    <row r="11" spans="1:31" ht="17.25" customHeight="1" x14ac:dyDescent="0.25">
      <c r="A11" s="2" t="s">
        <v>6</v>
      </c>
      <c r="B11" s="166">
        <v>30</v>
      </c>
      <c r="C11" s="75"/>
      <c r="D11" s="140">
        <v>0.1</v>
      </c>
      <c r="E11" s="138">
        <f t="shared" si="0"/>
        <v>100000</v>
      </c>
      <c r="F11" s="223">
        <f t="shared" si="1"/>
        <v>7.3487333333333327</v>
      </c>
      <c r="G11" s="224">
        <f t="shared" si="2"/>
        <v>8.1652592592592582E-2</v>
      </c>
      <c r="H11" s="95">
        <f t="shared" si="3"/>
        <v>4.6242802678518513E-6</v>
      </c>
      <c r="I11" s="211">
        <v>1.42E-6</v>
      </c>
      <c r="J11" s="95">
        <f t="shared" si="4"/>
        <v>9.2485605357037026E-6</v>
      </c>
      <c r="K11" s="213">
        <v>1.1000000000000001E-6</v>
      </c>
      <c r="L11" s="95">
        <f t="shared" si="5"/>
        <v>2.3121401339259258E-5</v>
      </c>
      <c r="M11" s="213">
        <v>1.9700000000000002E-6</v>
      </c>
      <c r="N11" s="95">
        <f t="shared" si="6"/>
        <v>9.2485605357037033E-5</v>
      </c>
      <c r="O11" s="213">
        <v>1.34E-5</v>
      </c>
      <c r="P11" s="95">
        <f t="shared" si="7"/>
        <v>1.1560700669629629E-4</v>
      </c>
      <c r="Q11" s="211">
        <v>1.98E-5</v>
      </c>
      <c r="R11" s="95">
        <f t="shared" si="8"/>
        <v>2.3121401339259258E-4</v>
      </c>
      <c r="S11" s="222">
        <v>6.8200000000000004E-5</v>
      </c>
      <c r="T11" s="95">
        <f t="shared" si="9"/>
        <v>4.6242802678518515E-4</v>
      </c>
      <c r="U11" s="220">
        <v>2.3499999999999999E-4</v>
      </c>
      <c r="V11" s="95">
        <f t="shared" si="10"/>
        <v>2.3121401339259258E-3</v>
      </c>
      <c r="W11" s="211">
        <v>3.0100000000000001E-3</v>
      </c>
      <c r="X11" s="102">
        <f t="shared" si="11"/>
        <v>2.3121401339259256E-2</v>
      </c>
      <c r="Y11" s="220">
        <v>2.76E-2</v>
      </c>
      <c r="Z11" s="95">
        <f t="shared" si="12"/>
        <v>0.23121401339259257</v>
      </c>
      <c r="AA11" s="211">
        <v>0.14499999999999999</v>
      </c>
      <c r="AB11" s="95">
        <f t="shared" si="13"/>
        <v>2.3121401339259258</v>
      </c>
      <c r="AC11" s="222">
        <v>0.115</v>
      </c>
      <c r="AD11" s="445"/>
      <c r="AE11" s="447"/>
    </row>
    <row r="12" spans="1:31" ht="15.75" thickBot="1" x14ac:dyDescent="0.3">
      <c r="A12" s="2" t="s">
        <v>7</v>
      </c>
      <c r="B12" s="75">
        <v>6.6</v>
      </c>
      <c r="C12" s="75"/>
      <c r="D12" s="152">
        <v>35</v>
      </c>
      <c r="E12" s="138">
        <f t="shared" si="0"/>
        <v>35000000</v>
      </c>
      <c r="F12" s="226">
        <f t="shared" si="1"/>
        <v>11691.166666666668</v>
      </c>
      <c r="G12" s="227">
        <f t="shared" si="2"/>
        <v>129.90185185185186</v>
      </c>
      <c r="H12" s="95">
        <f t="shared" si="3"/>
        <v>7.3568095170370371E-3</v>
      </c>
      <c r="I12" s="211">
        <v>0.38300000000000001</v>
      </c>
      <c r="J12" s="95">
        <f t="shared" si="4"/>
        <v>1.4713619034074074E-2</v>
      </c>
      <c r="K12" s="213">
        <v>1.29</v>
      </c>
      <c r="L12" s="95">
        <f t="shared" si="5"/>
        <v>3.6784047585185185E-2</v>
      </c>
      <c r="M12" s="213">
        <v>5.08</v>
      </c>
      <c r="N12" s="95">
        <f t="shared" si="6"/>
        <v>0.14713619034074074</v>
      </c>
      <c r="O12" s="213">
        <v>20.6</v>
      </c>
      <c r="P12" s="95">
        <f t="shared" si="7"/>
        <v>0.18392023792592593</v>
      </c>
      <c r="Q12" s="211">
        <v>24</v>
      </c>
      <c r="R12" s="95">
        <f t="shared" si="8"/>
        <v>0.36784047585185187</v>
      </c>
      <c r="S12" s="222">
        <v>24.7</v>
      </c>
      <c r="T12" s="95">
        <f t="shared" si="9"/>
        <v>0.73568095170370373</v>
      </c>
      <c r="U12" s="220">
        <v>18.899999999999999</v>
      </c>
      <c r="V12" s="95">
        <f t="shared" si="10"/>
        <v>3.6784047585185187</v>
      </c>
      <c r="W12" s="211">
        <v>6.57</v>
      </c>
      <c r="X12" s="102">
        <f t="shared" si="11"/>
        <v>36.784047585185185</v>
      </c>
      <c r="Y12" s="220">
        <v>0.876</v>
      </c>
      <c r="Z12" s="95">
        <f t="shared" si="12"/>
        <v>367.84047585185186</v>
      </c>
      <c r="AA12" s="211">
        <v>0.253</v>
      </c>
      <c r="AB12" s="95">
        <f t="shared" si="13"/>
        <v>3678.4047585185185</v>
      </c>
      <c r="AC12" s="222">
        <v>0.153</v>
      </c>
      <c r="AD12" s="445"/>
      <c r="AE12" s="447"/>
    </row>
    <row r="13" spans="1:31" x14ac:dyDescent="0.25">
      <c r="A13" s="2" t="s">
        <v>268</v>
      </c>
      <c r="B13" s="186">
        <v>6</v>
      </c>
      <c r="C13" s="200"/>
      <c r="D13" s="210">
        <v>18</v>
      </c>
      <c r="E13" s="138">
        <f t="shared" si="0"/>
        <v>18000000</v>
      </c>
      <c r="F13" s="226">
        <f t="shared" si="1"/>
        <v>6613.86</v>
      </c>
      <c r="G13" s="227">
        <f t="shared" si="2"/>
        <v>73.487333333333325</v>
      </c>
      <c r="H13" s="95">
        <f t="shared" si="3"/>
        <v>4.1618522410666655E-3</v>
      </c>
      <c r="I13" s="211"/>
      <c r="J13" s="95">
        <f t="shared" si="4"/>
        <v>8.323704482133331E-3</v>
      </c>
      <c r="K13" s="213"/>
      <c r="L13" s="95">
        <f t="shared" si="5"/>
        <v>2.0809261205333329E-2</v>
      </c>
      <c r="M13" s="213"/>
      <c r="N13" s="95">
        <f t="shared" si="6"/>
        <v>8.3237044821333317E-2</v>
      </c>
      <c r="O13" s="213"/>
      <c r="P13" s="95">
        <f t="shared" si="7"/>
        <v>0.10404630602666665</v>
      </c>
      <c r="Q13" s="211"/>
      <c r="R13" s="95">
        <f t="shared" si="8"/>
        <v>0.20809261205333329</v>
      </c>
      <c r="S13" s="222"/>
      <c r="T13" s="95">
        <f t="shared" si="9"/>
        <v>0.41618522410666658</v>
      </c>
      <c r="U13" s="220"/>
      <c r="V13" s="95">
        <f t="shared" si="10"/>
        <v>2.0809261205333329</v>
      </c>
      <c r="W13" s="211"/>
      <c r="X13" s="102">
        <f t="shared" si="11"/>
        <v>20.809261205333328</v>
      </c>
      <c r="Y13" s="220"/>
      <c r="Z13" s="95">
        <f t="shared" si="12"/>
        <v>208.09261205333328</v>
      </c>
      <c r="AA13" s="211"/>
      <c r="AB13" s="95">
        <f t="shared" si="13"/>
        <v>2080.9261205333328</v>
      </c>
      <c r="AC13" s="222"/>
      <c r="AD13" s="445"/>
      <c r="AE13" s="447"/>
    </row>
    <row r="14" spans="1:31" ht="15.75" thickBot="1" x14ac:dyDescent="0.3">
      <c r="A14" s="2" t="s">
        <v>264</v>
      </c>
      <c r="B14" s="186">
        <v>22</v>
      </c>
      <c r="C14" s="200"/>
      <c r="D14" s="210">
        <v>35</v>
      </c>
      <c r="E14" s="138">
        <f t="shared" si="0"/>
        <v>35000000</v>
      </c>
      <c r="F14" s="226">
        <f t="shared" si="1"/>
        <v>3507.3499999999995</v>
      </c>
      <c r="G14" s="227">
        <f t="shared" si="2"/>
        <v>38.970555555555549</v>
      </c>
      <c r="H14" s="95">
        <f t="shared" si="3"/>
        <v>2.2070428551111106E-3</v>
      </c>
      <c r="I14" s="101">
        <v>10.08</v>
      </c>
      <c r="J14" s="95">
        <f t="shared" si="4"/>
        <v>4.4140857102222212E-3</v>
      </c>
      <c r="K14" s="153">
        <v>32.78</v>
      </c>
      <c r="L14" s="95">
        <f t="shared" si="5"/>
        <v>1.1035214275555554E-2</v>
      </c>
      <c r="M14" s="213"/>
      <c r="N14" s="95">
        <f t="shared" si="6"/>
        <v>4.4140857102222215E-2</v>
      </c>
      <c r="O14" s="213"/>
      <c r="P14" s="95">
        <f t="shared" si="7"/>
        <v>5.5176071377777768E-2</v>
      </c>
      <c r="Q14" s="211"/>
      <c r="R14" s="95">
        <f t="shared" si="8"/>
        <v>0.11035214275555554</v>
      </c>
      <c r="S14" s="222"/>
      <c r="T14" s="95">
        <f t="shared" si="9"/>
        <v>0.22070428551111107</v>
      </c>
      <c r="U14" s="89">
        <v>207.3</v>
      </c>
      <c r="V14" s="95">
        <f t="shared" si="10"/>
        <v>1.1035214275555554</v>
      </c>
      <c r="W14" s="211"/>
      <c r="X14" s="102">
        <f t="shared" si="11"/>
        <v>11.035214275555553</v>
      </c>
      <c r="Y14" s="220"/>
      <c r="Z14" s="95">
        <f t="shared" si="12"/>
        <v>110.35214275555553</v>
      </c>
      <c r="AA14" s="211"/>
      <c r="AB14" s="95">
        <f t="shared" si="13"/>
        <v>1103.5214275555554</v>
      </c>
      <c r="AC14" s="222"/>
      <c r="AD14" s="445"/>
      <c r="AE14" s="447"/>
    </row>
    <row r="15" spans="1:31" ht="15.75" thickBot="1" x14ac:dyDescent="0.3">
      <c r="A15" s="2" t="s">
        <v>9</v>
      </c>
      <c r="B15" s="75">
        <v>165</v>
      </c>
      <c r="C15" s="75"/>
      <c r="D15" s="142">
        <v>100</v>
      </c>
      <c r="E15" s="138">
        <f t="shared" si="0"/>
        <v>100000000</v>
      </c>
      <c r="F15" s="226">
        <f t="shared" si="1"/>
        <v>1336.1333333333334</v>
      </c>
      <c r="G15" s="227">
        <f t="shared" si="2"/>
        <v>14.845925925925927</v>
      </c>
      <c r="H15" s="95">
        <f t="shared" si="3"/>
        <v>8.4077823051851859E-4</v>
      </c>
      <c r="I15" s="211">
        <v>2.6800000000000001E-2</v>
      </c>
      <c r="J15" s="95">
        <f t="shared" si="4"/>
        <v>1.6815564610370372E-3</v>
      </c>
      <c r="K15" s="213">
        <v>7.9299999999999995E-2</v>
      </c>
      <c r="L15" s="95">
        <f t="shared" si="5"/>
        <v>4.2038911525925935E-3</v>
      </c>
      <c r="M15" s="213">
        <v>0.33300000000000002</v>
      </c>
      <c r="N15" s="95">
        <f t="shared" si="6"/>
        <v>1.6815564610370374E-2</v>
      </c>
      <c r="O15" s="213">
        <v>1.33</v>
      </c>
      <c r="P15" s="95">
        <f t="shared" si="7"/>
        <v>2.1019455762962966E-2</v>
      </c>
      <c r="Q15" s="211">
        <v>1.55</v>
      </c>
      <c r="R15" s="95">
        <f t="shared" si="8"/>
        <v>4.2038911525925933E-2</v>
      </c>
      <c r="S15" s="222">
        <v>2.36</v>
      </c>
      <c r="T15" s="95">
        <f t="shared" si="9"/>
        <v>8.4077823051851866E-2</v>
      </c>
      <c r="U15" s="220">
        <v>2.86</v>
      </c>
      <c r="V15" s="95">
        <f t="shared" si="10"/>
        <v>0.42038911525925932</v>
      </c>
      <c r="W15" s="211">
        <v>1.97</v>
      </c>
      <c r="X15" s="102">
        <f t="shared" si="11"/>
        <v>4.2038911525925933</v>
      </c>
      <c r="Y15" s="220">
        <v>0.52</v>
      </c>
      <c r="Z15" s="95">
        <f t="shared" si="12"/>
        <v>42.038911525925933</v>
      </c>
      <c r="AA15" s="211">
        <v>0.29699999999999999</v>
      </c>
      <c r="AB15" s="95">
        <f t="shared" si="13"/>
        <v>420.38911525925931</v>
      </c>
      <c r="AC15" s="222">
        <v>0.219</v>
      </c>
      <c r="AD15" s="446"/>
      <c r="AE15" s="448"/>
    </row>
    <row r="16" spans="1:31" x14ac:dyDescent="0.25">
      <c r="A16" s="2" t="s">
        <v>10</v>
      </c>
      <c r="B16" s="75">
        <v>265</v>
      </c>
      <c r="C16" s="75"/>
      <c r="D16" s="140">
        <v>0.1</v>
      </c>
      <c r="E16" s="138">
        <f t="shared" si="0"/>
        <v>100000</v>
      </c>
      <c r="F16" s="223">
        <f t="shared" si="1"/>
        <v>0.83193207547169812</v>
      </c>
      <c r="G16" s="224">
        <f t="shared" si="2"/>
        <v>9.2436897274633129E-3</v>
      </c>
      <c r="H16" s="95">
        <f t="shared" si="3"/>
        <v>5.2350342654926633E-7</v>
      </c>
      <c r="I16" s="211">
        <v>2.2599999999999999E-3</v>
      </c>
      <c r="J16" s="95">
        <f t="shared" si="4"/>
        <v>1.0470068530985327E-6</v>
      </c>
      <c r="K16" s="213">
        <v>1.1100000000000001E-3</v>
      </c>
      <c r="L16" s="95">
        <f t="shared" si="5"/>
        <v>2.6175171327463316E-6</v>
      </c>
      <c r="M16" s="213">
        <v>4.3899999999999999E-4</v>
      </c>
      <c r="N16" s="95">
        <f t="shared" si="6"/>
        <v>1.0470068530985326E-5</v>
      </c>
      <c r="O16" s="213">
        <v>2.05E-4</v>
      </c>
      <c r="P16" s="95">
        <f t="shared" si="7"/>
        <v>1.3087585663731659E-5</v>
      </c>
      <c r="Q16" s="211">
        <v>2.3599999999999999E-4</v>
      </c>
      <c r="R16" s="95">
        <f t="shared" si="8"/>
        <v>2.6175171327463317E-5</v>
      </c>
      <c r="S16" s="222">
        <v>3.3599999999999998E-4</v>
      </c>
      <c r="T16" s="95">
        <f t="shared" si="9"/>
        <v>5.2350342654926635E-5</v>
      </c>
      <c r="U16" s="220">
        <v>4.37E-4</v>
      </c>
      <c r="V16" s="95">
        <f t="shared" si="10"/>
        <v>2.6175171327463316E-4</v>
      </c>
      <c r="W16" s="211">
        <v>1.1000000000000001E-3</v>
      </c>
      <c r="X16" s="102">
        <f t="shared" si="11"/>
        <v>2.6175171327463315E-3</v>
      </c>
      <c r="Y16" s="220">
        <v>1.2200000000000001E-2</v>
      </c>
      <c r="Z16" s="95">
        <f t="shared" si="12"/>
        <v>2.6175171327463314E-2</v>
      </c>
      <c r="AA16" s="211">
        <v>9.3100000000000002E-2</v>
      </c>
      <c r="AB16" s="95">
        <f t="shared" si="13"/>
        <v>0.26175171327463315</v>
      </c>
      <c r="AC16" s="222">
        <v>0.371</v>
      </c>
      <c r="AD16" s="95">
        <f>(($G16)*0.0283168)/0.0001</f>
        <v>2.6175171327463316</v>
      </c>
      <c r="AE16" s="87">
        <v>0.28199999999999997</v>
      </c>
    </row>
    <row r="17" spans="1:31" ht="15.75" thickBot="1" x14ac:dyDescent="0.3">
      <c r="A17" s="2" t="s">
        <v>11</v>
      </c>
      <c r="B17" s="75">
        <v>265</v>
      </c>
      <c r="C17" s="75"/>
      <c r="D17" s="141">
        <v>0.1</v>
      </c>
      <c r="E17" s="138">
        <f t="shared" si="0"/>
        <v>100000</v>
      </c>
      <c r="F17" s="223">
        <f t="shared" si="1"/>
        <v>0.83193207547169812</v>
      </c>
      <c r="G17" s="224">
        <f t="shared" si="2"/>
        <v>9.2436897274633129E-3</v>
      </c>
      <c r="H17" s="95">
        <f t="shared" si="3"/>
        <v>5.2350342654926633E-7</v>
      </c>
      <c r="I17" s="211">
        <v>5.4799999999999998E-4</v>
      </c>
      <c r="J17" s="95">
        <f t="shared" si="4"/>
        <v>1.0470068530985327E-6</v>
      </c>
      <c r="K17" s="213">
        <v>2.6899999999999998E-4</v>
      </c>
      <c r="L17" s="95">
        <f t="shared" si="5"/>
        <v>2.6175171327463316E-6</v>
      </c>
      <c r="M17" s="213">
        <v>1.06E-4</v>
      </c>
      <c r="N17" s="95">
        <f t="shared" si="6"/>
        <v>1.0470068530985326E-5</v>
      </c>
      <c r="O17" s="213">
        <v>2.76E-5</v>
      </c>
      <c r="P17" s="95">
        <f t="shared" si="7"/>
        <v>1.3087585663731659E-5</v>
      </c>
      <c r="Q17" s="211">
        <v>2.76E-5</v>
      </c>
      <c r="R17" s="95">
        <f t="shared" si="8"/>
        <v>2.6175171327463317E-5</v>
      </c>
      <c r="S17" s="222">
        <v>2.76E-5</v>
      </c>
      <c r="T17" s="95">
        <f t="shared" si="9"/>
        <v>5.2350342654926635E-5</v>
      </c>
      <c r="U17" s="220">
        <v>2.76E-5</v>
      </c>
      <c r="V17" s="95">
        <f t="shared" si="10"/>
        <v>2.6175171327463316E-4</v>
      </c>
      <c r="W17" s="211">
        <v>6.58E-5</v>
      </c>
      <c r="X17" s="102">
        <f t="shared" si="11"/>
        <v>2.6175171327463315E-3</v>
      </c>
      <c r="Y17" s="220">
        <v>3.7000000000000002E-3</v>
      </c>
      <c r="Z17" s="95">
        <f t="shared" si="12"/>
        <v>2.6175171327463314E-2</v>
      </c>
      <c r="AA17" s="211">
        <v>7.6300000000000007E-2</v>
      </c>
      <c r="AB17" s="95">
        <f t="shared" si="13"/>
        <v>0.26175171327463315</v>
      </c>
      <c r="AC17" s="222">
        <v>0.38500000000000001</v>
      </c>
      <c r="AD17" s="95">
        <f>(($G17)*0.0283168)/0.0001</f>
        <v>2.6175171327463316</v>
      </c>
      <c r="AE17" s="87">
        <v>0.30099999999999999</v>
      </c>
    </row>
    <row r="18" spans="1:31" ht="15.75" thickBot="1" x14ac:dyDescent="0.3">
      <c r="A18" s="3" t="s">
        <v>13</v>
      </c>
      <c r="B18" s="167">
        <v>2700</v>
      </c>
      <c r="C18" s="74"/>
      <c r="D18" s="143">
        <v>144</v>
      </c>
      <c r="E18" s="138">
        <f t="shared" si="0"/>
        <v>144000000</v>
      </c>
      <c r="F18" s="228">
        <f t="shared" si="1"/>
        <v>117.57973333333332</v>
      </c>
      <c r="G18" s="229">
        <f t="shared" si="2"/>
        <v>1.3064414814814813</v>
      </c>
      <c r="H18" s="96">
        <f t="shared" si="3"/>
        <v>7.3988484285629621E-5</v>
      </c>
      <c r="I18" s="230">
        <v>3.5400000000000001E-2</v>
      </c>
      <c r="J18" s="96">
        <f t="shared" si="4"/>
        <v>1.4797696857125924E-4</v>
      </c>
      <c r="K18" s="231">
        <v>5.9799999999999999E-2</v>
      </c>
      <c r="L18" s="96">
        <f t="shared" si="5"/>
        <v>3.6994242142814813E-4</v>
      </c>
      <c r="M18" s="231">
        <v>0.11799999999999999</v>
      </c>
      <c r="N18" s="96">
        <f t="shared" si="6"/>
        <v>1.4797696857125925E-3</v>
      </c>
      <c r="O18" s="231">
        <v>0.28799999999999998</v>
      </c>
      <c r="P18" s="96">
        <f t="shared" si="7"/>
        <v>1.8497121071407406E-3</v>
      </c>
      <c r="Q18" s="230">
        <v>0.33200000000000002</v>
      </c>
      <c r="R18" s="96">
        <f t="shared" si="8"/>
        <v>3.6994242142814812E-3</v>
      </c>
      <c r="S18" s="232">
        <v>0.57299999999999995</v>
      </c>
      <c r="T18" s="96">
        <f t="shared" si="9"/>
        <v>7.3988484285629624E-3</v>
      </c>
      <c r="U18" s="233">
        <v>1.29</v>
      </c>
      <c r="V18" s="96">
        <f t="shared" si="10"/>
        <v>3.6994242142814812E-2</v>
      </c>
      <c r="W18" s="230">
        <v>8.59</v>
      </c>
      <c r="X18" s="102">
        <f t="shared" si="11"/>
        <v>0.36994242142814809</v>
      </c>
      <c r="Y18" s="234">
        <v>24.4</v>
      </c>
      <c r="Z18" s="96">
        <f t="shared" si="12"/>
        <v>3.699424214281481</v>
      </c>
      <c r="AA18" s="230">
        <v>4.8899999999999997</v>
      </c>
      <c r="AB18" s="96">
        <f t="shared" si="13"/>
        <v>36.994242142814812</v>
      </c>
      <c r="AC18" s="232">
        <v>0.5</v>
      </c>
      <c r="AD18" s="25"/>
    </row>
    <row r="20" spans="1:31" x14ac:dyDescent="0.25">
      <c r="S20" t="s">
        <v>58</v>
      </c>
    </row>
    <row r="21" spans="1:31" ht="18.75" x14ac:dyDescent="0.3">
      <c r="A21" s="453" t="s">
        <v>56</v>
      </c>
      <c r="B21" s="453"/>
      <c r="C21" s="453"/>
      <c r="D21" s="453"/>
      <c r="E21" s="453"/>
      <c r="F21" s="453"/>
      <c r="G21" s="453"/>
      <c r="H21" s="453"/>
      <c r="S21" t="s">
        <v>55</v>
      </c>
    </row>
    <row r="22" spans="1:31" ht="15.75" thickBot="1" x14ac:dyDescent="0.3"/>
    <row r="23" spans="1:31" ht="18" thickBot="1" x14ac:dyDescent="0.3">
      <c r="A23" s="81" t="s">
        <v>32</v>
      </c>
      <c r="B23" s="408" t="s">
        <v>70</v>
      </c>
      <c r="C23" s="452"/>
      <c r="D23" s="454" t="s">
        <v>71</v>
      </c>
      <c r="E23" s="452"/>
      <c r="F23" s="408" t="s">
        <v>72</v>
      </c>
      <c r="G23" s="409"/>
      <c r="H23" s="408" t="s">
        <v>73</v>
      </c>
      <c r="I23" s="409"/>
      <c r="J23" s="408" t="s">
        <v>74</v>
      </c>
      <c r="K23" s="409"/>
      <c r="L23" s="408" t="s">
        <v>75</v>
      </c>
      <c r="M23" s="409"/>
      <c r="N23" s="408" t="s">
        <v>76</v>
      </c>
      <c r="O23" s="409"/>
      <c r="P23" s="408" t="s">
        <v>77</v>
      </c>
      <c r="Q23" s="452"/>
      <c r="R23" s="408" t="s">
        <v>78</v>
      </c>
      <c r="S23" s="409"/>
      <c r="T23" s="408" t="s">
        <v>118</v>
      </c>
      <c r="U23" s="452"/>
      <c r="V23" s="450" t="s">
        <v>122</v>
      </c>
      <c r="W23" s="451"/>
      <c r="X23" s="450" t="s">
        <v>121</v>
      </c>
      <c r="Y23" s="451"/>
      <c r="Z23" s="65"/>
      <c r="AA23" s="65"/>
      <c r="AB23" s="65"/>
      <c r="AC23" s="65"/>
    </row>
    <row r="24" spans="1:31" ht="27" thickBot="1" x14ac:dyDescent="0.3">
      <c r="A24" s="80" t="s">
        <v>25</v>
      </c>
      <c r="B24" s="127" t="s">
        <v>18</v>
      </c>
      <c r="C24" s="104" t="s">
        <v>19</v>
      </c>
      <c r="D24" s="126" t="s">
        <v>18</v>
      </c>
      <c r="E24" s="104" t="s">
        <v>19</v>
      </c>
      <c r="F24" s="103" t="s">
        <v>18</v>
      </c>
      <c r="G24" s="104" t="s">
        <v>19</v>
      </c>
      <c r="H24" s="103" t="s">
        <v>18</v>
      </c>
      <c r="I24" s="104" t="s">
        <v>19</v>
      </c>
      <c r="J24" s="103" t="s">
        <v>18</v>
      </c>
      <c r="K24" s="104" t="s">
        <v>19</v>
      </c>
      <c r="L24" s="103" t="s">
        <v>18</v>
      </c>
      <c r="M24" s="104" t="s">
        <v>19</v>
      </c>
      <c r="N24" s="103" t="s">
        <v>18</v>
      </c>
      <c r="O24" s="104" t="s">
        <v>19</v>
      </c>
      <c r="P24" s="105" t="s">
        <v>18</v>
      </c>
      <c r="Q24" s="104" t="s">
        <v>19</v>
      </c>
      <c r="R24" s="126" t="s">
        <v>18</v>
      </c>
      <c r="S24" s="104" t="s">
        <v>19</v>
      </c>
      <c r="T24" s="105" t="s">
        <v>18</v>
      </c>
      <c r="U24" s="125" t="s">
        <v>19</v>
      </c>
      <c r="V24" s="105" t="s">
        <v>18</v>
      </c>
      <c r="W24" s="125" t="s">
        <v>19</v>
      </c>
      <c r="X24" s="105" t="s">
        <v>18</v>
      </c>
      <c r="Y24" s="125" t="s">
        <v>19</v>
      </c>
      <c r="Z24" s="78"/>
      <c r="AA24" s="78"/>
      <c r="AB24" s="78"/>
      <c r="AC24" s="78"/>
    </row>
    <row r="25" spans="1:31" x14ac:dyDescent="0.25">
      <c r="A25" s="76">
        <v>20000</v>
      </c>
      <c r="B25" s="128">
        <f>($A25)/('Model Output'!$AE$22)</f>
        <v>17299989482.939137</v>
      </c>
      <c r="C25" s="129">
        <f>('Model Output'!$AH$22)</f>
        <v>6.8999999999999997E-5</v>
      </c>
      <c r="D25" s="130">
        <f>($A25)/('Model Output'!$AE$23)</f>
        <v>2306665264.3918848</v>
      </c>
      <c r="E25" s="128">
        <f>('Model Output'!$AH$23)</f>
        <v>4.3899999999999998E-3</v>
      </c>
      <c r="F25" s="131">
        <f>($A25)/('Model Output'!$AE$24)</f>
        <v>1729998948.2939138</v>
      </c>
      <c r="G25" s="128">
        <f>('Model Output'!$AH$24)</f>
        <v>6.6E-4</v>
      </c>
      <c r="H25" s="131">
        <f>($A25)/('Model Output'!$AE$25)</f>
        <v>172999894829.39136</v>
      </c>
      <c r="I25" s="128">
        <f>('Model Output'!$AH$25)</f>
        <v>9.1200000000000005E-4</v>
      </c>
      <c r="J25" s="131">
        <f>($A25)/('Model Output'!$AE$26)</f>
        <v>172999894829.39136</v>
      </c>
      <c r="K25" s="128">
        <f>('Model Output'!$AH$26)</f>
        <v>1.95E-6</v>
      </c>
      <c r="L25" s="131">
        <f>($A25)/('Model Output'!$AE$27)</f>
        <v>108742791.03561741</v>
      </c>
      <c r="M25" s="128">
        <f>('Model Output'!$AH$27)</f>
        <v>2.12E-4</v>
      </c>
      <c r="N25" s="131">
        <f>($A25)/('Model Output'!$AE$31)</f>
        <v>951499421.56165218</v>
      </c>
      <c r="O25" s="128">
        <f>('Model Output'!$AH$31)</f>
        <v>1.81E-3</v>
      </c>
      <c r="P25" s="131">
        <f>($A25)/('Model Output'!$AE$32)</f>
        <v>1528165737659.6233</v>
      </c>
      <c r="Q25" s="129">
        <f>('Model Output'!$AH$32)</f>
        <v>3.6600000000000001E-3</v>
      </c>
      <c r="R25" s="130">
        <f>($A25)/('Model Output'!$AE$33)</f>
        <v>1528165737659.6233</v>
      </c>
      <c r="S25" s="128">
        <f>('Model Output'!$AH$33)</f>
        <v>8.8099999999999995E-4</v>
      </c>
      <c r="T25" s="131">
        <f>($A25)/('Model Output'!$AE$35)</f>
        <v>10812493426.83696</v>
      </c>
      <c r="U25" s="132">
        <f>('Model Output'!$AH$35)</f>
        <v>5.1299999999999998E-2</v>
      </c>
      <c r="V25" s="131">
        <f>($A25)/('Model Output'!$AE$28)</f>
        <v>192222105.36599043</v>
      </c>
      <c r="W25" s="132">
        <f>('Model Output'!$AH$28)</f>
        <v>0</v>
      </c>
      <c r="X25" s="131">
        <f>($A25)/('Model Output'!$AE$30)</f>
        <v>362475970.11872476</v>
      </c>
      <c r="Y25" s="132">
        <f>('Model Output'!$AH$30)</f>
        <v>0</v>
      </c>
      <c r="Z25" s="78"/>
      <c r="AA25" s="78"/>
      <c r="AB25" s="78"/>
      <c r="AC25" s="78"/>
    </row>
    <row r="26" spans="1:31" x14ac:dyDescent="0.25">
      <c r="A26" s="76">
        <v>1000</v>
      </c>
      <c r="B26" s="128">
        <f>($A26)/('Model Output'!$AD$22)</f>
        <v>43249973.707347848</v>
      </c>
      <c r="C26" s="129">
        <f>('Model Output'!$AF$22)</f>
        <v>1.2999999999999999E-4</v>
      </c>
      <c r="D26" s="133">
        <f>($A26)/('Model Output'!$AD$23)</f>
        <v>5766663.1609797124</v>
      </c>
      <c r="E26" s="128">
        <f>('Model Output'!$AF$23)</f>
        <v>8.0119999999999997E-2</v>
      </c>
      <c r="F26" s="128">
        <f>($A26)/('Model Output'!$AD$24)</f>
        <v>4324997.3707347838</v>
      </c>
      <c r="G26" s="128">
        <f>('Model Output'!$AF$24)</f>
        <v>1.7999999999999999E-2</v>
      </c>
      <c r="H26" s="128">
        <f>($A26)/('Model Output'!$AD$25)</f>
        <v>432499737.0734784</v>
      </c>
      <c r="I26" s="128">
        <f>('Model Output'!$AF$25)</f>
        <v>5.6800000000000004E-4</v>
      </c>
      <c r="J26" s="128">
        <f>($A26)/('Model Output'!$AD$26)</f>
        <v>432499737.0734784</v>
      </c>
      <c r="K26" s="128">
        <f>('Model Output'!$AF$26)</f>
        <v>1.59E-6</v>
      </c>
      <c r="L26" s="128">
        <f>($A26)/('Model Output'!$AD$27)</f>
        <v>271856.97758904356</v>
      </c>
      <c r="M26" s="128">
        <f>('Model Output'!$AF$27)</f>
        <v>0.11</v>
      </c>
      <c r="N26" s="128">
        <f>($A26)/('Model Output'!$AD$31)</f>
        <v>2378748.5539041306</v>
      </c>
      <c r="O26" s="128">
        <f>('Model Output'!$AF$31)</f>
        <v>2.7799999999999998E-2</v>
      </c>
      <c r="P26" s="128">
        <f>($A26)/('Model Output'!$AD$32)</f>
        <v>3820414344.1490583</v>
      </c>
      <c r="Q26" s="129">
        <f>('Model Output'!$AF$32)</f>
        <v>2.82E-3</v>
      </c>
      <c r="R26" s="133">
        <f>($A26)/('Model Output'!$AD$33)</f>
        <v>3820414344.1490583</v>
      </c>
      <c r="S26" s="128">
        <f>('Model Output'!$AF$33)</f>
        <v>6.8199999999999999E-4</v>
      </c>
      <c r="T26" s="128">
        <f>($A26)/('Model Output'!$AD$35)</f>
        <v>27031233.5670924</v>
      </c>
      <c r="U26" s="132">
        <f>('Model Output'!$AF$35)</f>
        <v>0.03</v>
      </c>
      <c r="V26" s="128">
        <f>($A26)/('Model Output'!$AD$28)</f>
        <v>480555.26341497607</v>
      </c>
      <c r="W26" s="132">
        <f>('Model Output'!$AF$28)</f>
        <v>0</v>
      </c>
      <c r="X26" s="128">
        <f>($A26)/('Model Output'!$AD$30)</f>
        <v>906189.92529681197</v>
      </c>
      <c r="Y26" s="132">
        <f>('Model Output'!$AF$30)</f>
        <v>0.70269999999999999</v>
      </c>
      <c r="Z26" s="78"/>
      <c r="AA26" s="78"/>
      <c r="AB26" s="78"/>
      <c r="AC26" s="78"/>
    </row>
    <row r="27" spans="1:31" x14ac:dyDescent="0.25">
      <c r="A27" s="76">
        <v>500</v>
      </c>
      <c r="B27" s="128">
        <f>($A27)/($H$7)</f>
        <v>10812493.426836962</v>
      </c>
      <c r="C27" s="129">
        <f>($I$7)</f>
        <v>1.34E-4</v>
      </c>
      <c r="D27" s="133">
        <f>($A27)/($H$8)</f>
        <v>1441665.7902449281</v>
      </c>
      <c r="E27" s="128">
        <f>($I$8)</f>
        <v>0.28470000000000001</v>
      </c>
      <c r="F27" s="128">
        <f>($A27)/($H$9)</f>
        <v>1081249.342683696</v>
      </c>
      <c r="G27" s="128">
        <f>($I$9)</f>
        <v>6.08E-2</v>
      </c>
      <c r="H27" s="128">
        <f>($A27)/($H$10)</f>
        <v>108124934.2683696</v>
      </c>
      <c r="I27" s="128">
        <f>($I$10)</f>
        <v>4.9100000000000001E-4</v>
      </c>
      <c r="J27" s="128">
        <f>($A27)/($H$11)</f>
        <v>108124934.2683696</v>
      </c>
      <c r="K27" s="128">
        <f>($I$11)</f>
        <v>1.42E-6</v>
      </c>
      <c r="L27" s="128">
        <f>($A27)/($H$12)</f>
        <v>67964.244397260889</v>
      </c>
      <c r="M27" s="128">
        <f>($I$12)</f>
        <v>0.38300000000000001</v>
      </c>
      <c r="N27" s="128">
        <f>($A27)/($H$15)</f>
        <v>594687.13847603265</v>
      </c>
      <c r="O27" s="128">
        <f>($I$15)</f>
        <v>2.6800000000000001E-2</v>
      </c>
      <c r="P27" s="128">
        <f>($A27)/($H$16)</f>
        <v>955103586.03726459</v>
      </c>
      <c r="Q27" s="129">
        <f>($I$16)</f>
        <v>2.2599999999999999E-3</v>
      </c>
      <c r="R27" s="133">
        <f>($A27)/($H$17)</f>
        <v>955103586.03726459</v>
      </c>
      <c r="S27" s="128">
        <f>($I$17)</f>
        <v>5.4799999999999998E-4</v>
      </c>
      <c r="T27" s="128">
        <f>($A27)/($H$18)</f>
        <v>6757808.3917731</v>
      </c>
      <c r="U27" s="132">
        <f>($I$18)</f>
        <v>3.5400000000000001E-2</v>
      </c>
      <c r="V27" s="128">
        <f>($A27)/($H$13)</f>
        <v>120138.81585374402</v>
      </c>
      <c r="W27" s="132">
        <f>($I$13)</f>
        <v>0</v>
      </c>
      <c r="X27" s="128">
        <f>($A27)/($H$14)</f>
        <v>226547.48132420299</v>
      </c>
      <c r="Y27" s="132">
        <f>($I$14)</f>
        <v>10.08</v>
      </c>
      <c r="Z27" s="78"/>
      <c r="AA27" s="78"/>
      <c r="AB27" s="78"/>
      <c r="AC27" s="78"/>
    </row>
    <row r="28" spans="1:31" x14ac:dyDescent="0.25">
      <c r="A28" s="76">
        <v>250</v>
      </c>
      <c r="B28" s="128">
        <f>($A28)/($J$7)</f>
        <v>2703123.3567092405</v>
      </c>
      <c r="C28" s="129">
        <f>$K$7</f>
        <v>1.5799999999999999E-4</v>
      </c>
      <c r="D28" s="133">
        <f>($A28)/($J$8)</f>
        <v>360416.44756123202</v>
      </c>
      <c r="E28" s="128">
        <f>$K$8</f>
        <v>1.0780000000000001</v>
      </c>
      <c r="F28" s="128">
        <f>($A28)/($J$9)</f>
        <v>270312.33567092399</v>
      </c>
      <c r="G28" s="128">
        <f>$K$9</f>
        <v>0.214</v>
      </c>
      <c r="H28" s="128">
        <f>($A28)/($J$10)</f>
        <v>27031233.5670924</v>
      </c>
      <c r="I28" s="128">
        <f>$K$10</f>
        <v>4.1599999999999997E-4</v>
      </c>
      <c r="J28" s="128">
        <f>($A28)/($J$11)</f>
        <v>27031233.5670924</v>
      </c>
      <c r="K28" s="128">
        <f>$K$11</f>
        <v>1.1000000000000001E-6</v>
      </c>
      <c r="L28" s="128">
        <f>($A28)/($J$12)</f>
        <v>16991.061099315222</v>
      </c>
      <c r="M28" s="128">
        <f>$K$12</f>
        <v>1.29</v>
      </c>
      <c r="N28" s="128">
        <f>($A28)/($J$15)</f>
        <v>148671.78461900816</v>
      </c>
      <c r="O28" s="128">
        <f>$K$15</f>
        <v>7.9299999999999995E-2</v>
      </c>
      <c r="P28" s="128">
        <f>($A28)/($J$16)</f>
        <v>238775896.50931615</v>
      </c>
      <c r="Q28" s="129">
        <f>$K$16</f>
        <v>1.1100000000000001E-3</v>
      </c>
      <c r="R28" s="133">
        <f>($A28)/($J$17)</f>
        <v>238775896.50931615</v>
      </c>
      <c r="S28" s="128">
        <f>$K$17</f>
        <v>2.6899999999999998E-4</v>
      </c>
      <c r="T28" s="128">
        <f>($A28)/($J$18)</f>
        <v>1689452.097943275</v>
      </c>
      <c r="U28" s="132">
        <f>$K$18</f>
        <v>5.9799999999999999E-2</v>
      </c>
      <c r="V28" s="128">
        <f>($A28)/($J$13)</f>
        <v>30034.703963436004</v>
      </c>
      <c r="W28" s="132">
        <f>$K$13</f>
        <v>0</v>
      </c>
      <c r="X28" s="128">
        <f>($A28)/($J$14)</f>
        <v>56636.870331050748</v>
      </c>
      <c r="Y28" s="132">
        <f>$K$14</f>
        <v>32.78</v>
      </c>
      <c r="Z28" s="78"/>
      <c r="AA28" s="78"/>
      <c r="AB28" s="78"/>
      <c r="AC28" s="78"/>
    </row>
    <row r="29" spans="1:31" x14ac:dyDescent="0.25">
      <c r="A29" s="76">
        <v>100</v>
      </c>
      <c r="B29" s="128">
        <f>($A29)/($L$7)</f>
        <v>432499.73707347846</v>
      </c>
      <c r="C29" s="129">
        <f>$M$7</f>
        <v>3.6099999999999999E-4</v>
      </c>
      <c r="D29" s="133">
        <f>($A29)/($L$8)</f>
        <v>57666.631609797128</v>
      </c>
      <c r="E29" s="128">
        <f>$M$8</f>
        <v>5.9470000000000001</v>
      </c>
      <c r="F29" s="128">
        <f>($A29)/($L$9)</f>
        <v>43249.973707347839</v>
      </c>
      <c r="G29" s="128">
        <f>$M$9</f>
        <v>1.03</v>
      </c>
      <c r="H29" s="128">
        <f>($A29)/($L$10)</f>
        <v>4324997.3707347838</v>
      </c>
      <c r="I29" s="128">
        <f>$M$10</f>
        <v>7.6199999999999998E-4</v>
      </c>
      <c r="J29" s="128">
        <f>($A29)/($L$11)</f>
        <v>4324997.3707347838</v>
      </c>
      <c r="K29" s="128">
        <f>$M$11</f>
        <v>1.9700000000000002E-6</v>
      </c>
      <c r="L29" s="128">
        <f>($A29)/($L$12)</f>
        <v>2718.5697758904353</v>
      </c>
      <c r="M29" s="128">
        <f>$M$12</f>
        <v>5.08</v>
      </c>
      <c r="N29" s="128">
        <f>($A29)/($L$15)</f>
        <v>23787.485539041303</v>
      </c>
      <c r="O29" s="128">
        <f>$M$15</f>
        <v>0.33300000000000002</v>
      </c>
      <c r="P29" s="128">
        <f>($A29)/($L$16)</f>
        <v>38204143.441490583</v>
      </c>
      <c r="Q29" s="129">
        <f>$M$16</f>
        <v>4.3899999999999999E-4</v>
      </c>
      <c r="R29" s="133">
        <f>($A29)/($L$17)</f>
        <v>38204143.441490583</v>
      </c>
      <c r="S29" s="128">
        <f>$M$17</f>
        <v>1.06E-4</v>
      </c>
      <c r="T29" s="128">
        <f>($A29)/($L$18)</f>
        <v>270312.33567092399</v>
      </c>
      <c r="U29" s="132">
        <f>$M$18</f>
        <v>0.11799999999999999</v>
      </c>
      <c r="V29" s="128">
        <f>($A29)/($L$13)</f>
        <v>4805.5526341497607</v>
      </c>
      <c r="W29" s="132">
        <f>$M$13</f>
        <v>0</v>
      </c>
      <c r="X29" s="128">
        <f>($A29)/($L$14)</f>
        <v>9061.89925296812</v>
      </c>
      <c r="Y29" s="132">
        <f>$M$14</f>
        <v>0</v>
      </c>
      <c r="Z29" s="78"/>
      <c r="AA29" s="78"/>
      <c r="AB29" s="78"/>
      <c r="AC29" s="78"/>
    </row>
    <row r="30" spans="1:31" x14ac:dyDescent="0.25">
      <c r="A30" s="76">
        <v>25</v>
      </c>
      <c r="B30" s="128">
        <f>($A30)/($N$7)</f>
        <v>27031.233567092404</v>
      </c>
      <c r="C30" s="129">
        <f>$O$7</f>
        <v>1.75E-3</v>
      </c>
      <c r="D30" s="133">
        <f>($A30)/($N$8)</f>
        <v>3604.1644756123205</v>
      </c>
      <c r="E30" s="128">
        <f>$O$8</f>
        <v>15.45</v>
      </c>
      <c r="F30" s="128">
        <f>($A30)/($N$9)</f>
        <v>2703.1233567092399</v>
      </c>
      <c r="G30" s="128">
        <f>$O$9</f>
        <v>4.8099999999999996</v>
      </c>
      <c r="H30" s="128">
        <f>($A30)/($N$10)</f>
        <v>270312.33567092399</v>
      </c>
      <c r="I30" s="128">
        <f>$O$10</f>
        <v>4.13E-3</v>
      </c>
      <c r="J30" s="128">
        <f>($A30)/($N$11)</f>
        <v>270312.33567092399</v>
      </c>
      <c r="K30" s="128">
        <f>$O$11</f>
        <v>1.34E-5</v>
      </c>
      <c r="L30" s="128">
        <f>($A30)/($N$12)</f>
        <v>169.9106109931522</v>
      </c>
      <c r="M30" s="128">
        <f>$O$12</f>
        <v>20.6</v>
      </c>
      <c r="N30" s="128">
        <f>($A30)/($N$15)</f>
        <v>1486.7178461900814</v>
      </c>
      <c r="O30" s="128">
        <f>$O$15</f>
        <v>1.33</v>
      </c>
      <c r="P30" s="128">
        <f>($A30)/($N$16)</f>
        <v>2387758.9650931614</v>
      </c>
      <c r="Q30" s="129">
        <f>$O$16</f>
        <v>2.05E-4</v>
      </c>
      <c r="R30" s="133">
        <f>($A30)/($N$17)</f>
        <v>2387758.9650931614</v>
      </c>
      <c r="S30" s="128">
        <f>$O$17</f>
        <v>2.76E-5</v>
      </c>
      <c r="T30" s="128">
        <f>($A30)/($N$18)</f>
        <v>16894.520979432749</v>
      </c>
      <c r="U30" s="132">
        <f>$O$18</f>
        <v>0.28799999999999998</v>
      </c>
      <c r="V30" s="128">
        <f>($A30)/($N$13)</f>
        <v>300.34703963436004</v>
      </c>
      <c r="W30" s="132">
        <f>$O$13</f>
        <v>0</v>
      </c>
      <c r="X30" s="128">
        <f>($A30)/($N$14)</f>
        <v>566.3687033105075</v>
      </c>
      <c r="Y30" s="132">
        <f>$O$14</f>
        <v>0</v>
      </c>
      <c r="Z30" s="78"/>
      <c r="AA30" s="78"/>
      <c r="AB30" s="78"/>
      <c r="AC30" s="78"/>
    </row>
    <row r="31" spans="1:31" x14ac:dyDescent="0.25">
      <c r="A31" s="76">
        <v>20</v>
      </c>
      <c r="B31" s="128">
        <f>($A31)/($P$7)</f>
        <v>17299.989482939134</v>
      </c>
      <c r="C31" s="129">
        <f>($Q$7)</f>
        <v>2.2499999999999998E-3</v>
      </c>
      <c r="D31" s="133">
        <f>($A31)/($P$8)</f>
        <v>2306.6652643918851</v>
      </c>
      <c r="E31" s="128">
        <f>($Q$8)</f>
        <v>17.12</v>
      </c>
      <c r="F31" s="128">
        <f>($A31)/($P$9)</f>
        <v>1729.9989482939136</v>
      </c>
      <c r="G31" s="128">
        <f>($Q$9)</f>
        <v>5.74</v>
      </c>
      <c r="H31" s="128">
        <f>($A31)/($P$10)</f>
        <v>172999.89482939136</v>
      </c>
      <c r="I31" s="128">
        <f>($Q$10)</f>
        <v>5.8500000000000002E-3</v>
      </c>
      <c r="J31" s="128">
        <f>($A31)/($P$11)</f>
        <v>172999.89482939136</v>
      </c>
      <c r="K31" s="128">
        <f>($Q$11)</f>
        <v>1.98E-5</v>
      </c>
      <c r="L31" s="128">
        <f>($A31)/($P$12)</f>
        <v>108.74279103561742</v>
      </c>
      <c r="M31" s="128">
        <f>($Q$12)</f>
        <v>24</v>
      </c>
      <c r="N31" s="128">
        <f>($A31)/($P$15)</f>
        <v>951.49942156165218</v>
      </c>
      <c r="O31" s="128">
        <f>($Q$15)</f>
        <v>1.55</v>
      </c>
      <c r="P31" s="128">
        <f>($A31)/($P$16)</f>
        <v>1528165.7376596231</v>
      </c>
      <c r="Q31" s="129">
        <f>($Q$16)</f>
        <v>2.3599999999999999E-4</v>
      </c>
      <c r="R31" s="133">
        <f>($A31)/($P$17)</f>
        <v>1528165.7376596231</v>
      </c>
      <c r="S31" s="128">
        <f>($Q$17)</f>
        <v>2.76E-5</v>
      </c>
      <c r="T31" s="128">
        <f>($A31)/($P$18)</f>
        <v>10812.49342683696</v>
      </c>
      <c r="U31" s="132">
        <f>($Q$18)</f>
        <v>0.33200000000000002</v>
      </c>
      <c r="V31" s="128">
        <f>($A31)/($P$13)</f>
        <v>192.22210536599042</v>
      </c>
      <c r="W31" s="132">
        <f>($Q$13)</f>
        <v>0</v>
      </c>
      <c r="X31" s="128">
        <f>($A31)/($P$14)</f>
        <v>362.47597011872477</v>
      </c>
      <c r="Y31" s="132">
        <f>($Q$14)</f>
        <v>0</v>
      </c>
      <c r="Z31" s="78"/>
      <c r="AA31" s="78"/>
      <c r="AB31" s="78"/>
      <c r="AC31" s="78"/>
    </row>
    <row r="32" spans="1:31" x14ac:dyDescent="0.25">
      <c r="A32" s="76">
        <v>10</v>
      </c>
      <c r="B32" s="128">
        <f>($A32)/($R$7)</f>
        <v>4324.9973707347835</v>
      </c>
      <c r="C32" s="129">
        <f>($S$7)</f>
        <v>4.4799999999999996E-3</v>
      </c>
      <c r="D32" s="133">
        <f>($A32)/($R$8)</f>
        <v>576.66631609797128</v>
      </c>
      <c r="E32" s="128">
        <f>($S$8)</f>
        <v>21.62</v>
      </c>
      <c r="F32" s="128">
        <f>($A32)/($R$9)</f>
        <v>432.4997370734784</v>
      </c>
      <c r="G32" s="128">
        <f>($S$9)</f>
        <v>8.5</v>
      </c>
      <c r="H32" s="128">
        <f>($A32)/($R$10)</f>
        <v>43249.973707347839</v>
      </c>
      <c r="I32" s="128">
        <f>($S$10)</f>
        <v>1.6199999999999999E-2</v>
      </c>
      <c r="J32" s="128">
        <f>($A32)/($R$11)</f>
        <v>43249.973707347839</v>
      </c>
      <c r="K32" s="128">
        <f>($S$11)</f>
        <v>6.8200000000000004E-5</v>
      </c>
      <c r="L32" s="128">
        <f>($A32)/($R$12)</f>
        <v>27.185697758904354</v>
      </c>
      <c r="M32" s="128">
        <f>($S$12)</f>
        <v>24.7</v>
      </c>
      <c r="N32" s="128">
        <f>($A32)/($R$15)</f>
        <v>237.87485539041305</v>
      </c>
      <c r="O32" s="128">
        <f>($S$15)</f>
        <v>2.36</v>
      </c>
      <c r="P32" s="128">
        <f>($A32)/($R$16)</f>
        <v>382041.43441490579</v>
      </c>
      <c r="Q32" s="129">
        <f>($S$16)</f>
        <v>3.3599999999999998E-4</v>
      </c>
      <c r="R32" s="133">
        <f>($A32)/($R$17)</f>
        <v>382041.43441490579</v>
      </c>
      <c r="S32" s="128">
        <f>($S$17)</f>
        <v>2.76E-5</v>
      </c>
      <c r="T32" s="128">
        <f>($A32)/($R$18)</f>
        <v>2703.1233567092399</v>
      </c>
      <c r="U32" s="132">
        <f>($S$18)</f>
        <v>0.57299999999999995</v>
      </c>
      <c r="V32" s="128">
        <f>($A32)/($R$13)</f>
        <v>48.055526341497604</v>
      </c>
      <c r="W32" s="132">
        <f>($S$13)</f>
        <v>0</v>
      </c>
      <c r="X32" s="128">
        <f>($A32)/($R$14)</f>
        <v>90.618992529681194</v>
      </c>
      <c r="Y32" s="132">
        <f>($S$14)</f>
        <v>0</v>
      </c>
      <c r="Z32" s="4"/>
      <c r="AA32" s="4"/>
      <c r="AB32" s="4"/>
      <c r="AC32" s="4"/>
    </row>
    <row r="33" spans="1:29" x14ac:dyDescent="0.25">
      <c r="A33" s="73">
        <v>5</v>
      </c>
      <c r="B33" s="128">
        <f>($A33)/($T$7)</f>
        <v>1081.2493426836959</v>
      </c>
      <c r="C33" s="129">
        <f>($U$7)</f>
        <v>7.2399999999999999E-3</v>
      </c>
      <c r="D33" s="133">
        <f>($A33)/($T$8)</f>
        <v>144.16657902449282</v>
      </c>
      <c r="E33" s="128">
        <f>($U$8)</f>
        <v>24.65</v>
      </c>
      <c r="F33" s="128">
        <f>($A33)/($T$9)</f>
        <v>108.1249342683696</v>
      </c>
      <c r="G33" s="128">
        <f>($U$9)</f>
        <v>12.2</v>
      </c>
      <c r="H33" s="128">
        <f>($A33)/($T$10)</f>
        <v>10812.49342683696</v>
      </c>
      <c r="I33" s="128">
        <f>($U$10)</f>
        <v>4.0599999999999997E-2</v>
      </c>
      <c r="J33" s="128">
        <f>($A33)/($T$11)</f>
        <v>10812.49342683696</v>
      </c>
      <c r="K33" s="128">
        <f>($U$11)</f>
        <v>2.3499999999999999E-4</v>
      </c>
      <c r="L33" s="128">
        <f>($A33)/($T$12)</f>
        <v>6.7964244397260885</v>
      </c>
      <c r="M33" s="128">
        <f>($U$12)</f>
        <v>18.899999999999999</v>
      </c>
      <c r="N33" s="128">
        <f>($A33)/($T$15)</f>
        <v>59.468713847603262</v>
      </c>
      <c r="O33" s="128">
        <f>($U$15)</f>
        <v>2.86</v>
      </c>
      <c r="P33" s="128">
        <f>($A33)/($T$16)</f>
        <v>95510.358603726447</v>
      </c>
      <c r="Q33" s="129">
        <f>($U$16)</f>
        <v>4.37E-4</v>
      </c>
      <c r="R33" s="133">
        <f>($A33)/($T$17)</f>
        <v>95510.358603726447</v>
      </c>
      <c r="S33" s="128">
        <f>($U$17)</f>
        <v>2.76E-5</v>
      </c>
      <c r="T33" s="128">
        <f>($A33)/($T$18)</f>
        <v>675.78083917730999</v>
      </c>
      <c r="U33" s="132">
        <f>($U$18)</f>
        <v>1.29</v>
      </c>
      <c r="V33" s="128">
        <f>($A33)/($T$13)</f>
        <v>12.013881585374401</v>
      </c>
      <c r="W33" s="132">
        <f>($U$13)</f>
        <v>0</v>
      </c>
      <c r="X33" s="128">
        <f>($A33)/($T$14)</f>
        <v>22.654748132420298</v>
      </c>
      <c r="Y33" s="132">
        <f>($U$14)</f>
        <v>207.3</v>
      </c>
      <c r="Z33" s="4"/>
      <c r="AA33" s="4"/>
      <c r="AB33" s="4"/>
      <c r="AC33" s="4"/>
    </row>
    <row r="34" spans="1:29" x14ac:dyDescent="0.25">
      <c r="A34" s="73">
        <v>1</v>
      </c>
      <c r="B34" s="128">
        <f>($A34)/($V$7)</f>
        <v>43.249973707347841</v>
      </c>
      <c r="C34" s="129">
        <f>($W$7)</f>
        <v>1.23E-2</v>
      </c>
      <c r="D34" s="133">
        <f>($A34)/($V$8)</f>
        <v>5.7666631609797125</v>
      </c>
      <c r="E34" s="128">
        <f>($W$8)</f>
        <v>23.15</v>
      </c>
      <c r="F34" s="128">
        <f>($A34)/($V$9)</f>
        <v>4.324997370734784</v>
      </c>
      <c r="G34" s="128">
        <f>($W$9)</f>
        <v>13.4</v>
      </c>
      <c r="H34" s="128">
        <f>($A34)/($V$10)</f>
        <v>432.4997370734784</v>
      </c>
      <c r="I34" s="128">
        <f>($W$10)</f>
        <v>0.17799999999999999</v>
      </c>
      <c r="J34" s="128">
        <f>($A34)/($V$11)</f>
        <v>432.4997370734784</v>
      </c>
      <c r="K34" s="128">
        <f>($W$11)</f>
        <v>3.0100000000000001E-3</v>
      </c>
      <c r="L34" s="128">
        <f>($A34)/($V$12)</f>
        <v>0.27185697758904354</v>
      </c>
      <c r="M34" s="128">
        <f>($W$12)</f>
        <v>6.57</v>
      </c>
      <c r="N34" s="128">
        <f>($A34)/($V$15)</f>
        <v>2.3787485539041304</v>
      </c>
      <c r="O34" s="128">
        <f>($W$15)</f>
        <v>1.97</v>
      </c>
      <c r="P34" s="128">
        <f>($A34)/($V$16)</f>
        <v>3820.4143441490583</v>
      </c>
      <c r="Q34" s="129">
        <f>($W$16)</f>
        <v>1.1000000000000001E-3</v>
      </c>
      <c r="R34" s="133">
        <f>($A34)/($V$17)</f>
        <v>3820.4143441490583</v>
      </c>
      <c r="S34" s="128">
        <f>($W$17)</f>
        <v>6.58E-5</v>
      </c>
      <c r="T34" s="128">
        <f>($A34)/($V$18)</f>
        <v>27.0312335670924</v>
      </c>
      <c r="U34" s="132">
        <f>($W$18)</f>
        <v>8.59</v>
      </c>
      <c r="V34" s="128">
        <f>($A34)/($V$13)</f>
        <v>0.48055526341497606</v>
      </c>
      <c r="W34" s="132">
        <f>($W$13)</f>
        <v>0</v>
      </c>
      <c r="X34" s="128">
        <f>($A34)/($V$14)</f>
        <v>0.90618992529681197</v>
      </c>
      <c r="Y34" s="132">
        <f>($W$14)</f>
        <v>0</v>
      </c>
      <c r="Z34" s="4"/>
      <c r="AA34" s="4"/>
      <c r="AB34" s="4"/>
      <c r="AC34" s="4"/>
    </row>
    <row r="35" spans="1:29" x14ac:dyDescent="0.25">
      <c r="A35" s="73">
        <v>0.1</v>
      </c>
      <c r="B35" s="128">
        <f>($A35)/($X$7)</f>
        <v>0.4324997370734785</v>
      </c>
      <c r="C35" s="129">
        <f>($Y$7)</f>
        <v>1.9199999999999998E-2</v>
      </c>
      <c r="D35" s="133">
        <f>($A35)/($X$8)</f>
        <v>5.7666631609797125E-2</v>
      </c>
      <c r="E35" s="128">
        <f>($Y$8)</f>
        <v>3.67</v>
      </c>
      <c r="F35" s="128">
        <f>($A35)/($X$9)</f>
        <v>4.3249973707347851E-2</v>
      </c>
      <c r="G35" s="128">
        <f>($Y$9)</f>
        <v>1.82</v>
      </c>
      <c r="H35" s="128">
        <f>($A35)/($X$10)</f>
        <v>4.3249973707347849</v>
      </c>
      <c r="I35" s="128">
        <f>($Y$10)</f>
        <v>0.219</v>
      </c>
      <c r="J35" s="128">
        <f>($A35)/($X$11)</f>
        <v>4.3249973707347849</v>
      </c>
      <c r="K35" s="128">
        <f>($Y$11)</f>
        <v>2.76E-2</v>
      </c>
      <c r="L35" s="128">
        <f>($A35)/($X$12)</f>
        <v>2.7185697758904358E-3</v>
      </c>
      <c r="M35" s="128">
        <f>($Y$12)</f>
        <v>0.876</v>
      </c>
      <c r="N35" s="128">
        <f>($A35)/($X$15)</f>
        <v>2.3787485539041309E-2</v>
      </c>
      <c r="O35" s="128">
        <f>($Y$15)</f>
        <v>0.52</v>
      </c>
      <c r="P35" s="128">
        <f>($A35)/($X$16)</f>
        <v>38.204143441490586</v>
      </c>
      <c r="Q35" s="129">
        <f>($Y$16)</f>
        <v>1.2200000000000001E-2</v>
      </c>
      <c r="R35" s="133">
        <f>($A35)/($X$17)</f>
        <v>38.204143441490586</v>
      </c>
      <c r="S35" s="128">
        <f>($Y$17)</f>
        <v>3.7000000000000002E-3</v>
      </c>
      <c r="T35" s="128">
        <f>($A35)/($X$18)</f>
        <v>0.27031233567092405</v>
      </c>
      <c r="U35" s="132">
        <f>($Y$18)</f>
        <v>24.4</v>
      </c>
      <c r="V35" s="128">
        <f>($A35)/($X$13)</f>
        <v>4.8055526341497607E-3</v>
      </c>
      <c r="W35" s="132">
        <f>($Y$13)</f>
        <v>0</v>
      </c>
      <c r="X35" s="128">
        <f>($A35)/($X$14)</f>
        <v>9.0618992529681204E-3</v>
      </c>
      <c r="Y35" s="132">
        <f>($Y$14)</f>
        <v>0</v>
      </c>
      <c r="Z35" s="4"/>
      <c r="AA35" s="4"/>
      <c r="AB35" s="4"/>
      <c r="AC35" s="4"/>
    </row>
    <row r="36" spans="1:29" x14ac:dyDescent="0.25">
      <c r="A36" s="73">
        <v>0.01</v>
      </c>
      <c r="B36" s="128">
        <f>($A36)/($Z$7)</f>
        <v>4.3249973707347846E-3</v>
      </c>
      <c r="C36" s="129">
        <f>($AA$7)</f>
        <v>1.1900000000000001E-2</v>
      </c>
      <c r="D36" s="133">
        <f>($A36)/($Z$8)</f>
        <v>5.7666631609797124E-4</v>
      </c>
      <c r="E36" s="128">
        <f>($AA$8)</f>
        <v>0.38150000000000001</v>
      </c>
      <c r="F36" s="128">
        <f>($A36)/($Z$9)</f>
        <v>4.324997370734784E-4</v>
      </c>
      <c r="G36" s="128">
        <f>($AA$9)</f>
        <v>0.25600000000000001</v>
      </c>
      <c r="H36" s="128">
        <f>($A36)/($Z$10)</f>
        <v>4.3249973707347844E-2</v>
      </c>
      <c r="I36" s="128">
        <f>($AA$10)</f>
        <v>0.245</v>
      </c>
      <c r="J36" s="128">
        <f>($A36)/($Z$11)</f>
        <v>4.3249973707347844E-2</v>
      </c>
      <c r="K36" s="128">
        <f>($AA$11)</f>
        <v>0.14499999999999999</v>
      </c>
      <c r="L36" s="128">
        <f>($A36)/($Z$12)</f>
        <v>2.7185697758904354E-5</v>
      </c>
      <c r="M36" s="128">
        <f>($AA$12)</f>
        <v>0.253</v>
      </c>
      <c r="N36" s="128">
        <f>($A36)/($Z$15)</f>
        <v>2.3787485539041308E-4</v>
      </c>
      <c r="O36" s="128">
        <f>($AA$15)</f>
        <v>0.29699999999999999</v>
      </c>
      <c r="P36" s="128">
        <f>($A36)/($Z$16)</f>
        <v>0.38204143441490584</v>
      </c>
      <c r="Q36" s="129">
        <f>($AA$16)</f>
        <v>9.3100000000000002E-2</v>
      </c>
      <c r="R36" s="133">
        <f>($A36)/($Z$17)</f>
        <v>0.38204143441490584</v>
      </c>
      <c r="S36" s="128">
        <f>($AA$17)</f>
        <v>7.6300000000000007E-2</v>
      </c>
      <c r="T36" s="128">
        <f>($A36)/($Z$18)</f>
        <v>2.7031233567092403E-3</v>
      </c>
      <c r="U36" s="132">
        <f>($AA$18)</f>
        <v>4.8899999999999997</v>
      </c>
      <c r="V36" s="128">
        <f>($A36)/($Z$13)</f>
        <v>4.8055526341497608E-5</v>
      </c>
      <c r="W36" s="132">
        <f>($AA$13)</f>
        <v>0</v>
      </c>
      <c r="X36" s="128">
        <f>($A36)/($Z$14)</f>
        <v>9.0618992529681197E-5</v>
      </c>
      <c r="Y36" s="132">
        <f>($AA$14)</f>
        <v>0</v>
      </c>
    </row>
    <row r="37" spans="1:29" ht="15.75" thickBot="1" x14ac:dyDescent="0.3">
      <c r="A37" s="73">
        <v>1E-3</v>
      </c>
      <c r="B37" s="134">
        <f>($A37)/($AB$7)</f>
        <v>4.3249973707347843E-5</v>
      </c>
      <c r="C37" s="135">
        <f>($AC$7)</f>
        <v>7.8399999999999997E-3</v>
      </c>
      <c r="D37" s="136">
        <f>($A37)/($AB$8)</f>
        <v>5.7666631609797126E-6</v>
      </c>
      <c r="E37" s="134">
        <f>($AC$8)</f>
        <v>4.7449999999999999E-2</v>
      </c>
      <c r="F37" s="134">
        <f>($A37)/($AB$9)</f>
        <v>4.3249973707347846E-6</v>
      </c>
      <c r="G37" s="134">
        <f>($AC$9)</f>
        <v>8.43E-2</v>
      </c>
      <c r="H37" s="134">
        <f>($A37)/($AB$10)</f>
        <v>4.324997370734784E-4</v>
      </c>
      <c r="I37" s="134">
        <f>($AC$10)</f>
        <v>0.11899999999999999</v>
      </c>
      <c r="J37" s="134">
        <f>($A37)/($AB$11)</f>
        <v>4.324997370734784E-4</v>
      </c>
      <c r="K37" s="134">
        <f>($AC$11)</f>
        <v>0.115</v>
      </c>
      <c r="L37" s="134">
        <f>($A37)/($AB$12)</f>
        <v>2.7185697758904354E-7</v>
      </c>
      <c r="M37" s="134">
        <f>($AC$12)</f>
        <v>0.153</v>
      </c>
      <c r="N37" s="134">
        <f>($A37)/($AB$15)</f>
        <v>2.3787485539041306E-6</v>
      </c>
      <c r="O37" s="134">
        <f>($AC$15)</f>
        <v>0.219</v>
      </c>
      <c r="P37" s="134">
        <f>($A37)/($AB$16)</f>
        <v>3.8204143441490585E-3</v>
      </c>
      <c r="Q37" s="135">
        <f>($AC$16)</f>
        <v>0.371</v>
      </c>
      <c r="R37" s="136">
        <f>($A37)/($AB$17)</f>
        <v>3.8204143441490585E-3</v>
      </c>
      <c r="S37" s="134">
        <f>($AC$17)</f>
        <v>0.38500000000000001</v>
      </c>
      <c r="T37" s="134">
        <f>($A37)/($AB$18)</f>
        <v>2.70312335670924E-5</v>
      </c>
      <c r="U37" s="137">
        <f>($AC$18)</f>
        <v>0.5</v>
      </c>
      <c r="V37" s="134">
        <f>($A37)/($AB$13)</f>
        <v>4.8055526341497608E-7</v>
      </c>
      <c r="W37" s="137">
        <f>($AC$13)</f>
        <v>0</v>
      </c>
      <c r="X37" s="134">
        <f>($A37)/($AB$14)</f>
        <v>9.0618992529681197E-7</v>
      </c>
      <c r="Y37" s="137">
        <f>($AC$14)</f>
        <v>0</v>
      </c>
    </row>
    <row r="38" spans="1:29" ht="15.75" customHeight="1" thickBot="1" x14ac:dyDescent="0.3">
      <c r="A38" s="79" t="s">
        <v>24</v>
      </c>
      <c r="B38" s="5"/>
      <c r="C38" s="4"/>
      <c r="D38" s="5"/>
      <c r="E38" s="4"/>
      <c r="P38" s="134">
        <f>(0.0001)/($AD$16)</f>
        <v>3.8204143441490587E-5</v>
      </c>
      <c r="Q38" s="135">
        <f>($AE$16)</f>
        <v>0.28199999999999997</v>
      </c>
      <c r="R38" s="136">
        <f>(0.0001)/($AD$17)</f>
        <v>3.8204143441490587E-5</v>
      </c>
      <c r="S38" s="134">
        <f>($AE$17)</f>
        <v>0.30099999999999999</v>
      </c>
    </row>
    <row r="40" spans="1:29" x14ac:dyDescent="0.25">
      <c r="B40" s="77"/>
    </row>
    <row r="41" spans="1:29" x14ac:dyDescent="0.25">
      <c r="B41" s="77"/>
    </row>
    <row r="42" spans="1:29" x14ac:dyDescent="0.25">
      <c r="B42" s="77"/>
    </row>
    <row r="43" spans="1:29" x14ac:dyDescent="0.25">
      <c r="B43" s="77"/>
    </row>
    <row r="44" spans="1:29" x14ac:dyDescent="0.25">
      <c r="B44" s="77"/>
    </row>
    <row r="68" spans="4:9" x14ac:dyDescent="0.25">
      <c r="D68" s="76"/>
      <c r="G68" s="76"/>
      <c r="H68" s="76"/>
      <c r="I68" s="76"/>
    </row>
    <row r="122" spans="1:5" x14ac:dyDescent="0.25">
      <c r="A122" s="5"/>
      <c r="B122" s="5"/>
      <c r="C122" s="5"/>
      <c r="D122" s="5"/>
    </row>
    <row r="123" spans="1:5" x14ac:dyDescent="0.25">
      <c r="A123" s="5"/>
      <c r="B123" s="5"/>
      <c r="C123" s="5"/>
      <c r="D123" s="5"/>
    </row>
    <row r="124" spans="1:5" x14ac:dyDescent="0.25">
      <c r="A124" s="5"/>
      <c r="B124" s="458"/>
      <c r="C124" s="458"/>
      <c r="D124" s="5"/>
    </row>
    <row r="125" spans="1:5" x14ac:dyDescent="0.25">
      <c r="A125" s="5"/>
      <c r="B125" s="151"/>
      <c r="C125" s="78"/>
      <c r="D125" s="75"/>
      <c r="E125" s="73"/>
    </row>
    <row r="126" spans="1:5" x14ac:dyDescent="0.25">
      <c r="A126" s="5"/>
      <c r="B126" s="4"/>
      <c r="C126" s="4"/>
      <c r="D126" s="5"/>
      <c r="E126" s="150"/>
    </row>
    <row r="127" spans="1:5" x14ac:dyDescent="0.25">
      <c r="A127" s="5"/>
      <c r="B127" s="4"/>
      <c r="C127" s="4"/>
      <c r="D127" s="5"/>
      <c r="E127" s="150"/>
    </row>
    <row r="128" spans="1:5" x14ac:dyDescent="0.25">
      <c r="A128" s="5"/>
      <c r="B128" s="4"/>
      <c r="C128" s="4"/>
      <c r="D128" s="5"/>
      <c r="E128" s="150"/>
    </row>
    <row r="129" spans="1:5" x14ac:dyDescent="0.25">
      <c r="A129" s="5"/>
      <c r="B129" s="4"/>
      <c r="C129" s="4"/>
      <c r="D129" s="5"/>
      <c r="E129" s="150"/>
    </row>
    <row r="130" spans="1:5" x14ac:dyDescent="0.25">
      <c r="A130" s="5"/>
      <c r="B130" s="4"/>
      <c r="C130" s="4"/>
      <c r="D130" s="5"/>
      <c r="E130" s="150"/>
    </row>
    <row r="131" spans="1:5" x14ac:dyDescent="0.25">
      <c r="A131" s="5"/>
      <c r="B131" s="4"/>
      <c r="C131" s="4"/>
      <c r="D131" s="5"/>
      <c r="E131" s="150"/>
    </row>
    <row r="132" spans="1:5" x14ac:dyDescent="0.25">
      <c r="A132" s="5"/>
      <c r="B132" s="4"/>
      <c r="C132" s="4"/>
      <c r="D132" s="5"/>
      <c r="E132" s="150"/>
    </row>
    <row r="133" spans="1:5" x14ac:dyDescent="0.25">
      <c r="A133" s="5"/>
      <c r="B133" s="4"/>
      <c r="C133" s="4"/>
      <c r="D133" s="5"/>
      <c r="E133" s="150"/>
    </row>
    <row r="134" spans="1:5" x14ac:dyDescent="0.25">
      <c r="A134" s="5"/>
      <c r="B134" s="4"/>
      <c r="C134" s="4"/>
      <c r="D134" s="5"/>
      <c r="E134" s="150"/>
    </row>
    <row r="135" spans="1:5" x14ac:dyDescent="0.25">
      <c r="A135" s="5"/>
      <c r="B135" s="4"/>
      <c r="C135" s="4"/>
      <c r="D135" s="5"/>
      <c r="E135" s="150"/>
    </row>
    <row r="136" spans="1:5" x14ac:dyDescent="0.25">
      <c r="A136" s="5"/>
      <c r="B136" s="4"/>
      <c r="C136" s="4"/>
      <c r="D136" s="5"/>
      <c r="E136" s="150"/>
    </row>
    <row r="137" spans="1:5" x14ac:dyDescent="0.25">
      <c r="A137" s="5"/>
      <c r="B137" s="4"/>
      <c r="C137" s="4"/>
      <c r="D137" s="5"/>
      <c r="E137" s="150"/>
    </row>
    <row r="138" spans="1:5" x14ac:dyDescent="0.25">
      <c r="A138" s="5"/>
      <c r="B138" s="4"/>
      <c r="C138" s="4"/>
      <c r="D138" s="5"/>
      <c r="E138" s="150"/>
    </row>
    <row r="139" spans="1:5" x14ac:dyDescent="0.25">
      <c r="A139" s="5"/>
      <c r="B139" s="5"/>
      <c r="C139" s="5"/>
      <c r="D139" s="5"/>
    </row>
    <row r="140" spans="1:5" x14ac:dyDescent="0.25">
      <c r="A140" s="5"/>
      <c r="B140" s="5"/>
      <c r="C140" s="5"/>
      <c r="D140" s="5"/>
    </row>
  </sheetData>
  <mergeCells count="18">
    <mergeCell ref="A3:N3"/>
    <mergeCell ref="F4:O4"/>
    <mergeCell ref="A21:H21"/>
    <mergeCell ref="B23:C23"/>
    <mergeCell ref="D23:E23"/>
    <mergeCell ref="F23:G23"/>
    <mergeCell ref="H23:I23"/>
    <mergeCell ref="J23:K23"/>
    <mergeCell ref="L23:M23"/>
    <mergeCell ref="AD9:AD15"/>
    <mergeCell ref="AE9:AE15"/>
    <mergeCell ref="B124:C124"/>
    <mergeCell ref="N23:O23"/>
    <mergeCell ref="P23:Q23"/>
    <mergeCell ref="R23:S23"/>
    <mergeCell ref="T23:U23"/>
    <mergeCell ref="V23:W23"/>
    <mergeCell ref="X23:Y2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1"/>
  <sheetViews>
    <sheetView workbookViewId="0">
      <selection activeCell="C8" sqref="C8"/>
    </sheetView>
  </sheetViews>
  <sheetFormatPr defaultRowHeight="15" x14ac:dyDescent="0.25"/>
  <cols>
    <col min="1" max="1" width="4.28515625" customWidth="1"/>
    <col min="2" max="2" width="58.28515625" customWidth="1"/>
    <col min="3" max="3" width="14.85546875" customWidth="1"/>
    <col min="4" max="4" width="15.140625" customWidth="1"/>
    <col min="5" max="6" width="12.5703125" customWidth="1"/>
    <col min="7" max="7" width="16.5703125" customWidth="1"/>
    <col min="8" max="8" width="15.42578125" customWidth="1"/>
    <col min="9" max="9" width="13" customWidth="1"/>
    <col min="10" max="10" width="14.140625" customWidth="1"/>
    <col min="11" max="11" width="17.140625" customWidth="1"/>
    <col min="12" max="13" width="20.85546875" customWidth="1"/>
    <col min="14" max="14" width="22" customWidth="1"/>
    <col min="15" max="15" width="18.42578125" customWidth="1"/>
    <col min="16" max="16" width="17.85546875" customWidth="1"/>
    <col min="17" max="17" width="24.85546875" customWidth="1"/>
    <col min="18" max="18" width="9.7109375" bestFit="1" customWidth="1"/>
    <col min="23" max="23" width="14.42578125" customWidth="1"/>
  </cols>
  <sheetData>
    <row r="1" spans="1:15" ht="15.75" thickBot="1" x14ac:dyDescent="0.3"/>
    <row r="2" spans="1:15" ht="16.5" thickBot="1" x14ac:dyDescent="0.3">
      <c r="B2" s="250" t="s">
        <v>130</v>
      </c>
      <c r="C2" s="464" t="s">
        <v>177</v>
      </c>
      <c r="D2" s="464"/>
      <c r="E2" s="465"/>
      <c r="F2" s="470">
        <v>0.05</v>
      </c>
    </row>
    <row r="3" spans="1:15" ht="76.5" customHeight="1" x14ac:dyDescent="0.25">
      <c r="B3" s="209" t="s">
        <v>143</v>
      </c>
      <c r="C3" s="249" t="s">
        <v>260</v>
      </c>
      <c r="D3" s="249" t="s">
        <v>123</v>
      </c>
      <c r="E3" s="249" t="s">
        <v>174</v>
      </c>
      <c r="F3" s="249" t="s">
        <v>188</v>
      </c>
      <c r="G3" s="249" t="s">
        <v>124</v>
      </c>
      <c r="H3" s="249" t="s">
        <v>125</v>
      </c>
      <c r="I3" s="249" t="s">
        <v>126</v>
      </c>
      <c r="J3" s="249" t="s">
        <v>127</v>
      </c>
      <c r="K3" s="249" t="s">
        <v>128</v>
      </c>
      <c r="L3" s="249" t="s">
        <v>178</v>
      </c>
      <c r="M3" s="249" t="s">
        <v>129</v>
      </c>
      <c r="N3" s="249" t="s">
        <v>187</v>
      </c>
      <c r="O3" s="249" t="s">
        <v>186</v>
      </c>
    </row>
    <row r="4" spans="1:15" ht="4.5" customHeight="1" thickBot="1" x14ac:dyDescent="0.3">
      <c r="B4" s="255"/>
    </row>
    <row r="5" spans="1:15" ht="21" customHeight="1" thickBot="1" x14ac:dyDescent="0.3">
      <c r="A5" s="471"/>
      <c r="B5" s="258" t="s">
        <v>144</v>
      </c>
      <c r="C5" s="73">
        <v>30</v>
      </c>
      <c r="D5" s="73">
        <v>3</v>
      </c>
      <c r="E5" s="73">
        <v>3</v>
      </c>
      <c r="F5" s="205">
        <f t="shared" ref="F5:F12" si="0">(E5)*1000000</f>
        <v>3000000</v>
      </c>
      <c r="G5" s="205">
        <f>(F5)/(C5)</f>
        <v>100000</v>
      </c>
      <c r="H5" s="73">
        <v>10</v>
      </c>
      <c r="I5" s="73"/>
      <c r="J5" s="73">
        <f>((H5)*1000000)/(C5)</f>
        <v>333333.33333333331</v>
      </c>
      <c r="K5" s="248" t="str">
        <f>IF((J5)&gt;(G5),"No","Yes")</f>
        <v>No</v>
      </c>
      <c r="L5" s="248">
        <f>5000/(G5)</f>
        <v>0.05</v>
      </c>
      <c r="M5" s="251">
        <f>(L5)*(F$2)</f>
        <v>2.5000000000000005E-3</v>
      </c>
      <c r="N5" s="316">
        <f t="shared" ref="N5:N6" si="1">((F5)*25)/5000</f>
        <v>15000</v>
      </c>
      <c r="O5" s="315">
        <f>(N5)/($F$2)</f>
        <v>300000</v>
      </c>
    </row>
    <row r="6" spans="1:15" ht="15.75" thickBot="1" x14ac:dyDescent="0.3">
      <c r="B6" s="257" t="s">
        <v>79</v>
      </c>
      <c r="C6" s="73">
        <v>30</v>
      </c>
      <c r="D6" s="73">
        <v>0.6</v>
      </c>
      <c r="E6" s="73">
        <f>E26</f>
        <v>0.49968769519050593</v>
      </c>
      <c r="F6" s="205">
        <f t="shared" si="0"/>
        <v>499687.69519050594</v>
      </c>
      <c r="G6" s="205">
        <f t="shared" ref="G6:G19" si="2">(F6)/(C6)</f>
        <v>16656.256506350197</v>
      </c>
      <c r="H6" s="73">
        <v>1</v>
      </c>
      <c r="I6" s="73"/>
      <c r="J6" s="73">
        <f t="shared" ref="J6:J19" si="3">((H6)*1000000)/(C6)</f>
        <v>33333.333333333336</v>
      </c>
      <c r="K6" s="73"/>
      <c r="L6" s="248">
        <f t="shared" ref="L6:L19" si="4">5000/(G6)</f>
        <v>0.3001875</v>
      </c>
      <c r="M6" s="251">
        <f t="shared" ref="M6:M19" si="5">(L6)*(F$2)</f>
        <v>1.5009375E-2</v>
      </c>
      <c r="N6" s="316">
        <f t="shared" si="1"/>
        <v>2498.4384759525296</v>
      </c>
      <c r="O6" s="315">
        <f t="shared" ref="O6:O19" si="6">(N6)/($F$2)</f>
        <v>49968.769519050591</v>
      </c>
    </row>
    <row r="7" spans="1:15" ht="30.75" thickBot="1" x14ac:dyDescent="0.3">
      <c r="B7" s="257" t="s">
        <v>275</v>
      </c>
      <c r="C7" s="73">
        <v>30</v>
      </c>
      <c r="D7" s="73">
        <v>2</v>
      </c>
      <c r="E7" s="73">
        <f>H27</f>
        <v>0.39977434958934288</v>
      </c>
      <c r="F7" s="205">
        <f t="shared" si="0"/>
        <v>399774.34958934289</v>
      </c>
      <c r="G7" s="205">
        <f t="shared" si="2"/>
        <v>13325.811652978096</v>
      </c>
      <c r="H7" s="73">
        <v>7.5</v>
      </c>
      <c r="I7" s="73"/>
      <c r="J7" s="73">
        <f t="shared" si="3"/>
        <v>250000</v>
      </c>
      <c r="K7" s="73"/>
      <c r="L7" s="248">
        <f t="shared" si="4"/>
        <v>0.37521166666666667</v>
      </c>
      <c r="M7" s="251">
        <f t="shared" si="5"/>
        <v>1.8760583333333334E-2</v>
      </c>
      <c r="N7" s="316">
        <f>((F7)*25)/5000</f>
        <v>1998.8717479467145</v>
      </c>
      <c r="O7" s="315">
        <f t="shared" si="6"/>
        <v>39977.434958934289</v>
      </c>
    </row>
    <row r="8" spans="1:15" ht="15.75" thickBot="1" x14ac:dyDescent="0.3">
      <c r="B8" s="257" t="s">
        <v>81</v>
      </c>
      <c r="C8" s="73">
        <v>30</v>
      </c>
      <c r="D8" s="73">
        <v>2</v>
      </c>
      <c r="E8" s="253">
        <f>H33</f>
        <v>1.9980019980019981</v>
      </c>
      <c r="F8" s="205">
        <f t="shared" si="0"/>
        <v>1998001.9980019981</v>
      </c>
      <c r="G8" s="205">
        <f t="shared" si="2"/>
        <v>66600.066600066595</v>
      </c>
      <c r="H8" s="73">
        <v>10</v>
      </c>
      <c r="I8" s="73"/>
      <c r="J8" s="73">
        <f t="shared" si="3"/>
        <v>333333.33333333331</v>
      </c>
      <c r="K8" s="73"/>
      <c r="L8" s="248">
        <f t="shared" si="4"/>
        <v>7.5075000000000003E-2</v>
      </c>
      <c r="M8" s="251">
        <f t="shared" si="5"/>
        <v>3.7537500000000001E-3</v>
      </c>
      <c r="N8" s="316">
        <f t="shared" ref="N8:N19" si="7">((F8)*25)/5000</f>
        <v>9990.0099900099904</v>
      </c>
      <c r="O8" s="315">
        <f t="shared" si="6"/>
        <v>199800.1998001998</v>
      </c>
    </row>
    <row r="9" spans="1:15" ht="30.75" thickBot="1" x14ac:dyDescent="0.3">
      <c r="B9" s="257" t="s">
        <v>276</v>
      </c>
      <c r="C9" s="73">
        <v>30</v>
      </c>
      <c r="D9" s="73">
        <v>6</v>
      </c>
      <c r="E9" s="253">
        <f>F34</f>
        <v>3.2855108969444751</v>
      </c>
      <c r="F9" s="205">
        <f t="shared" si="0"/>
        <v>3285510.8969444749</v>
      </c>
      <c r="G9" s="205">
        <f t="shared" si="2"/>
        <v>109517.02989814917</v>
      </c>
      <c r="H9" s="73">
        <v>0.1</v>
      </c>
      <c r="I9" s="73"/>
      <c r="J9" s="73">
        <f t="shared" si="3"/>
        <v>3333.3333333333335</v>
      </c>
      <c r="K9" s="73"/>
      <c r="L9" s="248">
        <f t="shared" si="4"/>
        <v>4.5655000000000001E-2</v>
      </c>
      <c r="M9" s="251">
        <f t="shared" si="5"/>
        <v>2.2827500000000001E-3</v>
      </c>
      <c r="N9" s="316">
        <f t="shared" si="7"/>
        <v>16427.554484722375</v>
      </c>
      <c r="O9" s="315">
        <f t="shared" si="6"/>
        <v>328551.08969444747</v>
      </c>
    </row>
    <row r="10" spans="1:15" ht="30.75" thickBot="1" x14ac:dyDescent="0.3">
      <c r="B10" s="257" t="s">
        <v>277</v>
      </c>
      <c r="C10" s="73">
        <v>30</v>
      </c>
      <c r="D10" s="73">
        <v>4</v>
      </c>
      <c r="E10" s="73">
        <f>I28</f>
        <v>0.3634498661292993</v>
      </c>
      <c r="F10" s="205">
        <f t="shared" si="0"/>
        <v>363449.86612929928</v>
      </c>
      <c r="G10" s="205">
        <f t="shared" si="2"/>
        <v>12114.99553764331</v>
      </c>
      <c r="H10" s="73">
        <v>0.1</v>
      </c>
      <c r="I10" s="73"/>
      <c r="J10" s="73">
        <f t="shared" si="3"/>
        <v>3333.3333333333335</v>
      </c>
      <c r="K10" s="73"/>
      <c r="L10" s="248">
        <f t="shared" si="4"/>
        <v>0.4127116666666667</v>
      </c>
      <c r="M10" s="251">
        <f t="shared" si="5"/>
        <v>2.0635583333333336E-2</v>
      </c>
      <c r="N10" s="316">
        <f t="shared" si="7"/>
        <v>1817.2493306464962</v>
      </c>
      <c r="O10" s="315">
        <f t="shared" si="6"/>
        <v>36344.986612929919</v>
      </c>
    </row>
    <row r="11" spans="1:15" ht="15.75" thickBot="1" x14ac:dyDescent="0.3">
      <c r="B11" s="258" t="s">
        <v>207</v>
      </c>
      <c r="C11" s="73">
        <v>6.6</v>
      </c>
      <c r="D11" s="73">
        <v>0.7</v>
      </c>
      <c r="E11" s="73">
        <v>0.7</v>
      </c>
      <c r="F11" s="205">
        <f t="shared" si="0"/>
        <v>700000</v>
      </c>
      <c r="G11" s="205">
        <f t="shared" si="2"/>
        <v>106060.60606060606</v>
      </c>
      <c r="H11" s="73">
        <v>35</v>
      </c>
      <c r="I11" s="73"/>
      <c r="J11" s="73">
        <f t="shared" si="3"/>
        <v>5303030.3030303037</v>
      </c>
      <c r="K11" s="73"/>
      <c r="L11" s="248">
        <f t="shared" si="4"/>
        <v>4.7142857142857139E-2</v>
      </c>
      <c r="M11" s="251">
        <f t="shared" si="5"/>
        <v>2.3571428571428571E-3</v>
      </c>
      <c r="N11" s="316">
        <f t="shared" si="7"/>
        <v>3500</v>
      </c>
      <c r="O11" s="315">
        <f t="shared" si="6"/>
        <v>70000</v>
      </c>
    </row>
    <row r="12" spans="1:15" ht="30.75" thickBot="1" x14ac:dyDescent="0.3">
      <c r="B12" s="258" t="s">
        <v>278</v>
      </c>
      <c r="C12" s="331">
        <v>6</v>
      </c>
      <c r="D12" s="73" t="s">
        <v>265</v>
      </c>
      <c r="E12" s="73">
        <f>I35</f>
        <v>0.44774019129166648</v>
      </c>
      <c r="F12" s="205">
        <f t="shared" si="0"/>
        <v>447740.19129166647</v>
      </c>
      <c r="G12" s="205">
        <f t="shared" si="2"/>
        <v>74623.36521527775</v>
      </c>
      <c r="H12" s="73">
        <v>20</v>
      </c>
      <c r="I12" s="73"/>
      <c r="J12" s="73">
        <f t="shared" si="3"/>
        <v>3333333.3333333335</v>
      </c>
      <c r="K12" s="73"/>
      <c r="L12" s="248">
        <f t="shared" si="4"/>
        <v>6.7003142857142858E-2</v>
      </c>
      <c r="M12" s="251">
        <f t="shared" si="5"/>
        <v>3.3501571428571431E-3</v>
      </c>
      <c r="N12" s="316">
        <f t="shared" si="7"/>
        <v>2238.7009564583323</v>
      </c>
      <c r="O12" s="315">
        <f t="shared" si="6"/>
        <v>44774.019129166642</v>
      </c>
    </row>
    <row r="13" spans="1:15" ht="3" customHeight="1" thickBot="1" x14ac:dyDescent="0.3">
      <c r="B13" s="263"/>
      <c r="C13" s="73"/>
      <c r="D13" s="73"/>
      <c r="E13" s="73"/>
      <c r="F13" s="205"/>
      <c r="G13" s="205"/>
      <c r="H13" s="73"/>
      <c r="I13" s="73"/>
      <c r="J13" s="73"/>
      <c r="K13" s="73"/>
      <c r="L13" s="248" t="e">
        <f t="shared" si="4"/>
        <v>#DIV/0!</v>
      </c>
      <c r="M13" s="251"/>
      <c r="N13" s="316">
        <f t="shared" si="7"/>
        <v>0</v>
      </c>
      <c r="O13" s="315"/>
    </row>
    <row r="14" spans="1:15" ht="48" thickBot="1" x14ac:dyDescent="0.3">
      <c r="B14" s="259" t="s">
        <v>279</v>
      </c>
      <c r="C14" s="331">
        <v>22</v>
      </c>
      <c r="D14" s="73" t="s">
        <v>265</v>
      </c>
      <c r="E14" s="253">
        <f>U31</f>
        <v>0.32081168607468646</v>
      </c>
      <c r="F14" s="205">
        <f>(E14)*1000000</f>
        <v>320811.68607468647</v>
      </c>
      <c r="G14" s="205">
        <f t="shared" si="2"/>
        <v>14582.349367031204</v>
      </c>
      <c r="H14" s="331">
        <v>35</v>
      </c>
      <c r="I14" s="73"/>
      <c r="J14" s="73">
        <f t="shared" si="3"/>
        <v>1590909.0909090908</v>
      </c>
      <c r="K14" s="73"/>
      <c r="L14" s="248">
        <f t="shared" si="4"/>
        <v>0.34288027766666668</v>
      </c>
      <c r="M14" s="251">
        <f t="shared" si="5"/>
        <v>1.7144013883333333E-2</v>
      </c>
      <c r="N14" s="316">
        <f t="shared" si="7"/>
        <v>1604.0584303734322</v>
      </c>
      <c r="O14" s="396">
        <f t="shared" si="6"/>
        <v>32081.168607468644</v>
      </c>
    </row>
    <row r="15" spans="1:15" ht="15.75" thickBot="1" x14ac:dyDescent="0.3">
      <c r="B15" s="260" t="s">
        <v>280</v>
      </c>
      <c r="C15" s="73">
        <v>165</v>
      </c>
      <c r="D15" s="73">
        <v>10</v>
      </c>
      <c r="E15" s="253">
        <f>M29</f>
        <v>9.6308186195826639</v>
      </c>
      <c r="F15" s="205">
        <f>(E15)*1000000</f>
        <v>9630818.6195826642</v>
      </c>
      <c r="G15" s="205">
        <f t="shared" si="2"/>
        <v>58368.597694440388</v>
      </c>
      <c r="H15" s="73">
        <v>100</v>
      </c>
      <c r="I15" s="73"/>
      <c r="J15" s="73">
        <f t="shared" si="3"/>
        <v>606060.60606060608</v>
      </c>
      <c r="K15" s="73"/>
      <c r="L15" s="248">
        <f t="shared" si="4"/>
        <v>8.5662500000000003E-2</v>
      </c>
      <c r="M15" s="251">
        <f t="shared" si="5"/>
        <v>4.2831250000000005E-3</v>
      </c>
      <c r="N15" s="316">
        <f t="shared" si="7"/>
        <v>48154.093097913319</v>
      </c>
      <c r="O15" s="315">
        <f t="shared" si="6"/>
        <v>963081.86195826635</v>
      </c>
    </row>
    <row r="16" spans="1:15" ht="15.75" thickBot="1" x14ac:dyDescent="0.3">
      <c r="B16" s="260" t="s">
        <v>191</v>
      </c>
      <c r="C16" s="73">
        <v>265</v>
      </c>
      <c r="D16" s="73">
        <v>10</v>
      </c>
      <c r="E16" s="253">
        <f>J41</f>
        <v>9.9750623441396513</v>
      </c>
      <c r="F16" s="205">
        <f>(E16)*1000000</f>
        <v>9975062.3441396505</v>
      </c>
      <c r="G16" s="205">
        <f t="shared" si="2"/>
        <v>37641.744694866604</v>
      </c>
      <c r="H16" s="73">
        <v>0.1</v>
      </c>
      <c r="I16" s="73"/>
      <c r="J16" s="73">
        <f t="shared" si="3"/>
        <v>377.35849056603774</v>
      </c>
      <c r="K16" s="73"/>
      <c r="L16" s="248">
        <f t="shared" si="4"/>
        <v>0.13283125000000001</v>
      </c>
      <c r="M16" s="251">
        <f t="shared" si="5"/>
        <v>6.6415625000000008E-3</v>
      </c>
      <c r="N16" s="316">
        <f t="shared" si="7"/>
        <v>49875.31172069825</v>
      </c>
      <c r="O16" s="315">
        <f t="shared" si="6"/>
        <v>997506.23441396491</v>
      </c>
    </row>
    <row r="17" spans="2:28" ht="15.75" thickBot="1" x14ac:dyDescent="0.3">
      <c r="B17" s="261" t="s">
        <v>192</v>
      </c>
      <c r="C17" s="73">
        <v>265</v>
      </c>
      <c r="D17" s="73">
        <v>10</v>
      </c>
      <c r="E17" s="73">
        <v>10</v>
      </c>
      <c r="F17" s="205">
        <f>(E17)*1000000</f>
        <v>10000000</v>
      </c>
      <c r="G17" s="205">
        <f t="shared" si="2"/>
        <v>37735.849056603773</v>
      </c>
      <c r="H17" s="73">
        <v>0.1</v>
      </c>
      <c r="I17" s="73"/>
      <c r="J17" s="73">
        <f t="shared" si="3"/>
        <v>377.35849056603774</v>
      </c>
      <c r="K17" s="73"/>
      <c r="L17" s="248">
        <f t="shared" si="4"/>
        <v>0.13250000000000001</v>
      </c>
      <c r="M17" s="251">
        <f t="shared" si="5"/>
        <v>6.6250000000000007E-3</v>
      </c>
      <c r="N17" s="316">
        <f t="shared" si="7"/>
        <v>50000</v>
      </c>
      <c r="O17" s="315">
        <f t="shared" si="6"/>
        <v>1000000</v>
      </c>
    </row>
    <row r="18" spans="2:28" ht="3" customHeight="1" thickBot="1" x14ac:dyDescent="0.3">
      <c r="B18" s="264"/>
      <c r="C18" s="73"/>
      <c r="D18" s="73"/>
      <c r="E18" s="73"/>
      <c r="F18" s="205"/>
      <c r="G18" s="205"/>
      <c r="H18" s="73"/>
      <c r="I18" s="73"/>
      <c r="J18" s="73"/>
      <c r="K18" s="73"/>
      <c r="L18" s="248" t="e">
        <f t="shared" si="4"/>
        <v>#DIV/0!</v>
      </c>
      <c r="M18" s="251"/>
      <c r="N18" s="316">
        <f t="shared" si="7"/>
        <v>0</v>
      </c>
      <c r="O18" s="315"/>
    </row>
    <row r="19" spans="2:28" x14ac:dyDescent="0.25">
      <c r="B19" s="262" t="s">
        <v>83</v>
      </c>
      <c r="C19" s="73">
        <v>2700</v>
      </c>
      <c r="D19" s="73">
        <v>300</v>
      </c>
      <c r="E19" s="73">
        <v>300</v>
      </c>
      <c r="F19" s="205">
        <f>(E19)*1000000</f>
        <v>300000000</v>
      </c>
      <c r="G19" s="205">
        <f t="shared" si="2"/>
        <v>111111.11111111111</v>
      </c>
      <c r="H19" s="73">
        <v>144</v>
      </c>
      <c r="I19" s="73"/>
      <c r="J19" s="73">
        <f t="shared" si="3"/>
        <v>53333.333333333336</v>
      </c>
      <c r="K19" s="73"/>
      <c r="L19" s="248">
        <f t="shared" si="4"/>
        <v>4.4999999999999998E-2</v>
      </c>
      <c r="M19" s="251">
        <f t="shared" si="5"/>
        <v>2.2499999999999998E-3</v>
      </c>
      <c r="N19" s="316">
        <f t="shared" si="7"/>
        <v>1500000</v>
      </c>
      <c r="O19" s="315">
        <f t="shared" si="6"/>
        <v>30000000</v>
      </c>
    </row>
    <row r="20" spans="2:28" ht="17.25" x14ac:dyDescent="0.25">
      <c r="B20" s="275" t="s">
        <v>216</v>
      </c>
      <c r="C20" s="275"/>
    </row>
    <row r="21" spans="2:28" ht="52.5" thickBot="1" x14ac:dyDescent="0.3">
      <c r="B21" s="300" t="s">
        <v>267</v>
      </c>
    </row>
    <row r="22" spans="2:28" ht="15.75" thickBot="1" x14ac:dyDescent="0.3">
      <c r="N22" s="459" t="s">
        <v>173</v>
      </c>
      <c r="O22" s="460"/>
      <c r="P22" s="461"/>
      <c r="Q22" s="462"/>
      <c r="R22" s="463"/>
      <c r="S22" s="299"/>
      <c r="T22" s="295"/>
      <c r="U22" s="296"/>
    </row>
    <row r="23" spans="2:28" x14ac:dyDescent="0.25">
      <c r="B23" s="282" t="s">
        <v>284</v>
      </c>
      <c r="C23" s="270">
        <f>C25*10</f>
        <v>30</v>
      </c>
      <c r="D23" s="270">
        <f>D25*10</f>
        <v>8000</v>
      </c>
      <c r="E23" s="270">
        <f t="shared" ref="E23:M23" si="8">E25*10</f>
        <v>6</v>
      </c>
      <c r="F23" s="270">
        <f t="shared" si="8"/>
        <v>200000</v>
      </c>
      <c r="G23" s="270">
        <f t="shared" si="8"/>
        <v>90000</v>
      </c>
      <c r="H23" s="270">
        <f t="shared" si="8"/>
        <v>20</v>
      </c>
      <c r="I23" s="270">
        <f t="shared" si="8"/>
        <v>40</v>
      </c>
      <c r="J23" s="270">
        <f t="shared" si="8"/>
        <v>100</v>
      </c>
      <c r="K23" s="270">
        <f t="shared" si="8"/>
        <v>20000</v>
      </c>
      <c r="L23" s="270">
        <f t="shared" si="8"/>
        <v>3000</v>
      </c>
      <c r="M23" s="270">
        <f t="shared" si="8"/>
        <v>100</v>
      </c>
      <c r="N23" s="285">
        <f>N25*10</f>
        <v>100000</v>
      </c>
      <c r="O23" s="286">
        <f t="shared" ref="O23:U23" si="9">O25*10</f>
        <v>50</v>
      </c>
      <c r="P23" s="286">
        <f t="shared" si="9"/>
        <v>6000</v>
      </c>
      <c r="Q23" s="286">
        <f t="shared" si="9"/>
        <v>1000</v>
      </c>
      <c r="R23" s="286">
        <f t="shared" si="9"/>
        <v>2</v>
      </c>
      <c r="S23" s="286">
        <f t="shared" si="9"/>
        <v>2</v>
      </c>
      <c r="T23" s="286">
        <f t="shared" si="9"/>
        <v>40000</v>
      </c>
      <c r="U23" s="287">
        <f t="shared" si="9"/>
        <v>100</v>
      </c>
      <c r="V23" s="270"/>
      <c r="W23" s="270"/>
      <c r="X23" s="73"/>
      <c r="Y23" s="73"/>
      <c r="Z23" s="73"/>
      <c r="AA23" s="73"/>
      <c r="AB23" s="73"/>
    </row>
    <row r="24" spans="2:28" x14ac:dyDescent="0.25">
      <c r="B24" s="273" t="s">
        <v>150</v>
      </c>
      <c r="C24" s="209" t="s">
        <v>144</v>
      </c>
      <c r="D24" s="209" t="s">
        <v>146</v>
      </c>
      <c r="E24" s="209" t="s">
        <v>145</v>
      </c>
      <c r="F24" s="209" t="s">
        <v>147</v>
      </c>
      <c r="G24" s="209" t="s">
        <v>148</v>
      </c>
      <c r="H24" s="209" t="s">
        <v>149</v>
      </c>
      <c r="I24" s="209" t="s">
        <v>153</v>
      </c>
      <c r="J24" s="209" t="s">
        <v>154</v>
      </c>
      <c r="K24" s="209" t="s">
        <v>158</v>
      </c>
      <c r="L24" s="209" t="s">
        <v>155</v>
      </c>
      <c r="M24" s="209" t="s">
        <v>156</v>
      </c>
      <c r="N24" s="246" t="s">
        <v>166</v>
      </c>
      <c r="O24" s="247" t="s">
        <v>167</v>
      </c>
      <c r="P24" s="247" t="s">
        <v>168</v>
      </c>
      <c r="Q24" s="247" t="s">
        <v>169</v>
      </c>
      <c r="R24" s="247" t="s">
        <v>170</v>
      </c>
      <c r="S24" s="247" t="s">
        <v>171</v>
      </c>
      <c r="T24" s="247" t="s">
        <v>172</v>
      </c>
      <c r="U24" s="288" t="s">
        <v>164</v>
      </c>
      <c r="V24" s="209"/>
      <c r="W24" s="209"/>
      <c r="X24" s="73"/>
      <c r="Y24" s="73"/>
      <c r="Z24" s="73"/>
      <c r="AA24" s="73"/>
      <c r="AB24" s="73"/>
    </row>
    <row r="25" spans="2:28" x14ac:dyDescent="0.25">
      <c r="B25" s="273" t="s">
        <v>151</v>
      </c>
      <c r="C25" s="281">
        <v>3</v>
      </c>
      <c r="D25" s="253">
        <v>800</v>
      </c>
      <c r="E25" s="73">
        <v>0.6</v>
      </c>
      <c r="F25" s="253">
        <v>20000</v>
      </c>
      <c r="G25" s="253">
        <v>9000</v>
      </c>
      <c r="H25" s="253">
        <v>2</v>
      </c>
      <c r="I25" s="253">
        <v>4</v>
      </c>
      <c r="J25" s="73">
        <v>10</v>
      </c>
      <c r="K25" s="253">
        <v>2000</v>
      </c>
      <c r="L25" s="253">
        <v>300</v>
      </c>
      <c r="M25" s="73">
        <v>10</v>
      </c>
      <c r="N25" s="289">
        <v>10000</v>
      </c>
      <c r="O25" s="138">
        <v>5</v>
      </c>
      <c r="P25" s="138">
        <v>600</v>
      </c>
      <c r="Q25" s="138">
        <v>100</v>
      </c>
      <c r="R25" s="138">
        <v>0.2</v>
      </c>
      <c r="S25" s="138">
        <v>0.2</v>
      </c>
      <c r="T25" s="138">
        <v>4000</v>
      </c>
      <c r="U25" s="290">
        <v>10</v>
      </c>
      <c r="V25" s="253"/>
      <c r="W25" s="253"/>
    </row>
    <row r="26" spans="2:28" ht="18.75" thickBot="1" x14ac:dyDescent="0.4">
      <c r="B26" s="164" t="s">
        <v>159</v>
      </c>
      <c r="C26" s="271">
        <f>LCM(C23:E23)</f>
        <v>24000</v>
      </c>
      <c r="D26" s="271"/>
      <c r="E26" s="73">
        <f>(C26)/(((C26)/(C25))+((C26)/(D25))+((C26)/(E25)))</f>
        <v>0.49968769519050593</v>
      </c>
      <c r="N26" s="293"/>
      <c r="O26" s="294"/>
      <c r="P26" s="294"/>
      <c r="Q26" s="294"/>
      <c r="R26" s="294"/>
      <c r="S26" s="294"/>
      <c r="T26" s="291">
        <f>LCM(T23:U23)</f>
        <v>40000</v>
      </c>
      <c r="U26" s="292">
        <f>(T26)/(((T26)/(T25))+((T26)/(U25)))</f>
        <v>9.9750623441396513</v>
      </c>
      <c r="V26" s="277"/>
      <c r="W26" s="253"/>
    </row>
    <row r="27" spans="2:28" ht="36" x14ac:dyDescent="0.35">
      <c r="B27" s="164" t="s">
        <v>162</v>
      </c>
      <c r="C27" s="271">
        <f>LCM(C23:H23)</f>
        <v>1800000</v>
      </c>
      <c r="D27" s="271"/>
      <c r="E27" s="269"/>
      <c r="F27" s="272"/>
      <c r="G27" s="272"/>
      <c r="H27" s="73">
        <f>(C27)/(((C27)/($C$25))+((C27)/($D$25))+((C27)/($E$25))+((C27)/($F$25))+((C27)/($G$25))+((C27)/($H$25)))</f>
        <v>0.39977434958934288</v>
      </c>
      <c r="N27" s="253">
        <f>$T$30/N25</f>
        <v>180</v>
      </c>
      <c r="O27" s="253">
        <f t="shared" ref="O27:U27" si="10">$T$30/O25</f>
        <v>360000</v>
      </c>
      <c r="P27" s="253">
        <f t="shared" si="10"/>
        <v>3000</v>
      </c>
      <c r="Q27" s="253">
        <f t="shared" si="10"/>
        <v>18000</v>
      </c>
      <c r="R27" s="253">
        <f t="shared" si="10"/>
        <v>9000000</v>
      </c>
      <c r="S27" s="253">
        <f t="shared" si="10"/>
        <v>9000000</v>
      </c>
      <c r="T27" s="253">
        <f t="shared" si="10"/>
        <v>450</v>
      </c>
      <c r="U27" s="253">
        <f t="shared" si="10"/>
        <v>180000</v>
      </c>
      <c r="V27" s="150">
        <f>SUM(N27:U27)</f>
        <v>18561630</v>
      </c>
    </row>
    <row r="28" spans="2:28" ht="36" x14ac:dyDescent="0.35">
      <c r="B28" s="276" t="s">
        <v>163</v>
      </c>
      <c r="C28" s="271">
        <f>LCM(C23:I23)</f>
        <v>1800000</v>
      </c>
      <c r="D28" s="271"/>
      <c r="E28" s="269"/>
      <c r="F28" s="272"/>
      <c r="G28" s="272"/>
      <c r="H28" s="269"/>
      <c r="I28" s="274">
        <f>(C28)/(((C28)/($C$25))+((C28)/($D$25))+((C28)/($E$25))+((C28)/($F$25))+((C28)/($G$25))+((C28)/($H$25))+((C28)/($I$25)))</f>
        <v>0.3634498661292993</v>
      </c>
      <c r="N28" s="150">
        <f>N27*-2</f>
        <v>-360</v>
      </c>
      <c r="O28" s="150">
        <f t="shared" ref="O28:U28" si="11">O27*-2</f>
        <v>-720000</v>
      </c>
      <c r="P28" s="150">
        <f t="shared" si="11"/>
        <v>-6000</v>
      </c>
      <c r="Q28" s="150">
        <f t="shared" si="11"/>
        <v>-36000</v>
      </c>
      <c r="R28" s="150">
        <f t="shared" si="11"/>
        <v>-18000000</v>
      </c>
      <c r="S28" s="150">
        <f t="shared" si="11"/>
        <v>-18000000</v>
      </c>
      <c r="T28" s="150">
        <f t="shared" si="11"/>
        <v>-900</v>
      </c>
      <c r="U28" s="150">
        <f t="shared" si="11"/>
        <v>-360000</v>
      </c>
      <c r="V28" s="150">
        <f>SUM(N28:U28)</f>
        <v>-37123260</v>
      </c>
      <c r="W28" s="252" t="s">
        <v>176</v>
      </c>
    </row>
    <row r="29" spans="2:28" ht="18" x14ac:dyDescent="0.35">
      <c r="B29" s="276" t="s">
        <v>161</v>
      </c>
      <c r="C29" s="276"/>
      <c r="D29" s="277"/>
      <c r="E29" s="278"/>
      <c r="F29" s="28"/>
      <c r="G29" s="28"/>
      <c r="H29" s="278"/>
      <c r="I29" s="274"/>
      <c r="J29" s="280"/>
      <c r="K29" s="271">
        <f>LCM(K23:M23)</f>
        <v>60000</v>
      </c>
      <c r="L29" s="279"/>
      <c r="M29" s="253">
        <f>(K29)/(((K29)/(K25))+((K29)/(L25))+((K29)/(M25)))</f>
        <v>9.6308186195826639</v>
      </c>
    </row>
    <row r="30" spans="2:28" ht="41.25" x14ac:dyDescent="0.25">
      <c r="B30" s="276" t="s">
        <v>175</v>
      </c>
      <c r="C30" s="314">
        <f>C32*10</f>
        <v>50000</v>
      </c>
      <c r="D30" s="314">
        <f t="shared" ref="D30:I30" si="12">D32*10</f>
        <v>800</v>
      </c>
      <c r="E30" s="314">
        <f t="shared" si="12"/>
        <v>80</v>
      </c>
      <c r="F30" s="314">
        <f t="shared" si="12"/>
        <v>60</v>
      </c>
      <c r="G30" s="314">
        <f t="shared" si="12"/>
        <v>20000</v>
      </c>
      <c r="H30" s="314">
        <f t="shared" si="12"/>
        <v>20</v>
      </c>
      <c r="I30" s="314">
        <f t="shared" si="12"/>
        <v>7</v>
      </c>
      <c r="J30" s="279"/>
      <c r="K30" s="271"/>
      <c r="L30" s="279"/>
      <c r="M30" s="298"/>
      <c r="N30" s="272"/>
      <c r="O30" s="272"/>
      <c r="P30" s="272"/>
      <c r="Q30" s="272"/>
      <c r="R30" s="272"/>
      <c r="S30" s="272"/>
      <c r="T30" s="271">
        <f>LCM(C23:U23)</f>
        <v>1800000</v>
      </c>
      <c r="U30" s="274">
        <f>((T30/$C$25)*0.978)+((T30/$D$25)*0.978)+((T30/$E$25)*0.978)+((T30/$F$25)*0.978)+((T30/$G$25)*0.978)+((T30/$H$25)*0.978)+((T30/$I$25)*0.978)+((T30/$K$25)*0.978)+((T30/$L$25)*0.978)+((T30/$M$25)*0.978)+((T30/J25)*0.978)+((T30/$N$25)*0.022)+((T30/$O$25)*0.022)+((T30/$P$25)*0.022)+((T30/$Q$25)*0.022)+((T30/$R$25)*0.022)+((T30/$S$25)*0.022)+((T30/$T$25)*0.022)+((T30/$U$25)*0.022)</f>
        <v>5610768.1800000006</v>
      </c>
    </row>
    <row r="31" spans="2:28" x14ac:dyDescent="0.25">
      <c r="B31" s="276"/>
      <c r="C31" s="307" t="s">
        <v>179</v>
      </c>
      <c r="D31" s="308" t="s">
        <v>180</v>
      </c>
      <c r="E31" s="308" t="s">
        <v>181</v>
      </c>
      <c r="F31" s="308" t="s">
        <v>157</v>
      </c>
      <c r="G31" s="309" t="s">
        <v>183</v>
      </c>
      <c r="H31" s="308" t="s">
        <v>182</v>
      </c>
      <c r="I31" s="308" t="s">
        <v>184</v>
      </c>
      <c r="J31" s="280"/>
      <c r="K31" s="277"/>
      <c r="L31" s="280"/>
      <c r="M31" s="306"/>
      <c r="N31" s="28"/>
      <c r="O31" s="28"/>
      <c r="P31" s="28"/>
      <c r="Q31" s="28"/>
      <c r="R31" s="28"/>
      <c r="S31" s="28"/>
      <c r="T31" s="277"/>
      <c r="U31" s="274">
        <f>(T30)/(U30)</f>
        <v>0.32081168607468646</v>
      </c>
    </row>
    <row r="32" spans="2:28" x14ac:dyDescent="0.25">
      <c r="B32" s="276"/>
      <c r="C32" s="312">
        <v>5000</v>
      </c>
      <c r="D32" s="310">
        <v>80</v>
      </c>
      <c r="E32" s="310">
        <v>8</v>
      </c>
      <c r="F32" s="310">
        <v>6</v>
      </c>
      <c r="G32" s="310">
        <v>2000</v>
      </c>
      <c r="H32" s="310">
        <v>2</v>
      </c>
      <c r="I32" s="311">
        <v>0.7</v>
      </c>
      <c r="J32" s="280"/>
      <c r="K32" s="277"/>
      <c r="L32" s="280"/>
      <c r="M32" s="253"/>
      <c r="P32" s="73"/>
      <c r="S32" s="252"/>
      <c r="U32" s="274"/>
    </row>
    <row r="33" spans="2:19" ht="18" x14ac:dyDescent="0.35">
      <c r="B33" s="276" t="s">
        <v>152</v>
      </c>
      <c r="C33" s="276"/>
      <c r="G33" s="271">
        <f>LCM(G30:H30)</f>
        <v>20000</v>
      </c>
      <c r="H33" s="306">
        <f>(G33)/(((G33)/(G32))+(G33)/(H32))</f>
        <v>1.9980019980019981</v>
      </c>
      <c r="P33" s="73"/>
    </row>
    <row r="34" spans="2:19" ht="18" x14ac:dyDescent="0.35">
      <c r="B34" s="276" t="s">
        <v>185</v>
      </c>
      <c r="C34" s="297"/>
      <c r="D34" s="272"/>
      <c r="E34" s="271">
        <f>LCM(C30:F30)</f>
        <v>300000</v>
      </c>
      <c r="F34" s="306">
        <f>(E34)/(((E34)/(C32))+(E34)/(D32)+(E34)/(E32)+(E34)/(F32))</f>
        <v>3.2855108969444751</v>
      </c>
      <c r="P34" s="73"/>
      <c r="R34" s="150"/>
    </row>
    <row r="35" spans="2:19" x14ac:dyDescent="0.25">
      <c r="B35" s="164" t="s">
        <v>82</v>
      </c>
      <c r="C35" s="313"/>
      <c r="D35" s="272"/>
      <c r="E35" s="272"/>
      <c r="F35" s="272"/>
      <c r="G35" s="272"/>
      <c r="H35" s="271">
        <f>LCM(C30:I30)</f>
        <v>2100000</v>
      </c>
      <c r="I35" s="274">
        <f>(H35)/(((H35)/($C$32))+((H35)/($D$32))+((H35)/($E$32))+((H35)/($F$32))+((H35)/($G$32))+((H35)/($H$32))+((H35)/($I$32)))</f>
        <v>0.44774019129166648</v>
      </c>
      <c r="R35" s="150"/>
      <c r="S35" s="252"/>
    </row>
    <row r="36" spans="2:19" x14ac:dyDescent="0.25">
      <c r="B36" s="164"/>
      <c r="C36" s="164"/>
      <c r="Q36" s="301"/>
      <c r="R36" s="150"/>
    </row>
    <row r="37" spans="2:19" ht="3" customHeight="1" x14ac:dyDescent="0.25">
      <c r="B37" s="283"/>
      <c r="C37" s="283"/>
      <c r="D37" s="284"/>
      <c r="E37" s="284"/>
      <c r="F37" s="284"/>
      <c r="G37" s="284"/>
      <c r="H37" s="284"/>
      <c r="I37" s="284"/>
      <c r="J37" s="284"/>
      <c r="K37" s="284"/>
      <c r="L37" s="284"/>
      <c r="M37" s="284"/>
    </row>
    <row r="38" spans="2:19" x14ac:dyDescent="0.25">
      <c r="C38" s="270">
        <f>C40*10</f>
        <v>100000</v>
      </c>
      <c r="D38" s="270">
        <f t="shared" ref="D38:J38" si="13">D40*10</f>
        <v>50</v>
      </c>
      <c r="E38" s="270">
        <f t="shared" si="13"/>
        <v>6000</v>
      </c>
      <c r="F38" s="270">
        <f t="shared" si="13"/>
        <v>1000</v>
      </c>
      <c r="G38" s="270">
        <f t="shared" si="13"/>
        <v>2</v>
      </c>
      <c r="H38" s="270">
        <f t="shared" si="13"/>
        <v>2</v>
      </c>
      <c r="I38" s="270">
        <f t="shared" si="13"/>
        <v>40000</v>
      </c>
      <c r="J38" s="270">
        <f t="shared" si="13"/>
        <v>100</v>
      </c>
    </row>
    <row r="39" spans="2:19" x14ac:dyDescent="0.25">
      <c r="C39" s="209" t="s">
        <v>166</v>
      </c>
      <c r="D39" s="209" t="s">
        <v>167</v>
      </c>
      <c r="E39" s="209" t="s">
        <v>168</v>
      </c>
      <c r="F39" s="209" t="s">
        <v>169</v>
      </c>
      <c r="G39" s="209" t="s">
        <v>170</v>
      </c>
      <c r="H39" s="209" t="s">
        <v>171</v>
      </c>
      <c r="I39" s="209" t="s">
        <v>172</v>
      </c>
      <c r="J39" s="209" t="s">
        <v>164</v>
      </c>
    </row>
    <row r="40" spans="2:19" x14ac:dyDescent="0.25">
      <c r="C40" s="253">
        <v>10000</v>
      </c>
      <c r="D40" s="253">
        <v>5</v>
      </c>
      <c r="E40" s="253">
        <v>600</v>
      </c>
      <c r="F40" s="253">
        <v>100</v>
      </c>
      <c r="G40" s="253">
        <v>0.2</v>
      </c>
      <c r="H40" s="253">
        <v>0.2</v>
      </c>
      <c r="I40" s="253">
        <v>4000</v>
      </c>
      <c r="J40" s="253">
        <v>10</v>
      </c>
    </row>
    <row r="41" spans="2:19" x14ac:dyDescent="0.25">
      <c r="B41" s="244" t="s">
        <v>165</v>
      </c>
      <c r="C41" s="73"/>
      <c r="I41" s="271">
        <f>LCM(I38:J38)</f>
        <v>40000</v>
      </c>
      <c r="J41" s="253">
        <f>(I41)/(((I41)/(I40))+((I41)/(J40)))</f>
        <v>9.9750623441396513</v>
      </c>
    </row>
    <row r="42" spans="2:19" x14ac:dyDescent="0.25">
      <c r="B42" s="244"/>
      <c r="C42" s="73"/>
      <c r="I42" s="277"/>
      <c r="J42" s="253"/>
    </row>
    <row r="43" spans="2:19" x14ac:dyDescent="0.25">
      <c r="B43" s="244"/>
      <c r="C43" s="73"/>
      <c r="I43" s="277"/>
      <c r="J43" s="253"/>
    </row>
    <row r="44" spans="2:19" x14ac:dyDescent="0.25">
      <c r="B44" s="244"/>
      <c r="C44" s="73"/>
      <c r="I44" s="277"/>
      <c r="J44" s="253"/>
    </row>
    <row r="51" spans="2:15" x14ac:dyDescent="0.25">
      <c r="B51" s="28"/>
      <c r="C51" s="28"/>
    </row>
    <row r="53" spans="2:15" x14ac:dyDescent="0.25">
      <c r="O53" s="204"/>
    </row>
    <row r="54" spans="2:15" x14ac:dyDescent="0.25">
      <c r="O54" s="204"/>
    </row>
    <row r="55" spans="2:15" x14ac:dyDescent="0.25">
      <c r="O55" s="204"/>
    </row>
    <row r="56" spans="2:15" x14ac:dyDescent="0.25">
      <c r="O56" s="204"/>
    </row>
    <row r="57" spans="2:15" x14ac:dyDescent="0.25">
      <c r="O57" s="204"/>
    </row>
    <row r="70" spans="1:8" x14ac:dyDescent="0.25">
      <c r="A70" s="5"/>
      <c r="B70" s="5"/>
      <c r="C70" s="5"/>
      <c r="D70" s="205"/>
      <c r="E70" s="205"/>
      <c r="F70" s="248"/>
      <c r="G70" s="205"/>
      <c r="H70" s="65"/>
    </row>
    <row r="71" spans="1:8" x14ac:dyDescent="0.25">
      <c r="A71" s="5"/>
      <c r="B71" s="5"/>
      <c r="C71" s="5"/>
      <c r="D71" s="205"/>
      <c r="E71" s="205"/>
      <c r="F71" s="248"/>
      <c r="G71" s="205"/>
      <c r="H71" s="65"/>
    </row>
  </sheetData>
  <mergeCells count="3">
    <mergeCell ref="N22:P22"/>
    <mergeCell ref="Q22:R22"/>
    <mergeCell ref="C2:E2"/>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66"/>
  <sheetViews>
    <sheetView workbookViewId="0">
      <selection activeCell="H65" sqref="H65"/>
    </sheetView>
  </sheetViews>
  <sheetFormatPr defaultRowHeight="15" x14ac:dyDescent="0.25"/>
  <cols>
    <col min="1" max="1" width="25.85546875" customWidth="1"/>
    <col min="2" max="2" width="58.28515625" customWidth="1"/>
    <col min="3" max="3" width="14.85546875" customWidth="1"/>
    <col min="4" max="4" width="15.140625" customWidth="1"/>
    <col min="5" max="5" width="19.5703125" customWidth="1"/>
    <col min="6" max="6" width="15" customWidth="1"/>
    <col min="7" max="7" width="18.42578125" customWidth="1"/>
    <col min="8" max="8" width="16.7109375" customWidth="1"/>
    <col min="9" max="9" width="13" customWidth="1"/>
    <col min="10" max="10" width="14.140625" customWidth="1"/>
    <col min="11" max="11" width="17.140625" customWidth="1"/>
    <col min="12" max="13" width="20.85546875" customWidth="1"/>
    <col min="14" max="14" width="22" customWidth="1"/>
    <col min="15" max="15" width="18.42578125" customWidth="1"/>
    <col min="16" max="16" width="17.85546875" customWidth="1"/>
    <col min="17" max="17" width="24.85546875" customWidth="1"/>
    <col min="18" max="18" width="11.28515625" customWidth="1"/>
    <col min="19" max="19" width="12.42578125" customWidth="1"/>
    <col min="20" max="20" width="11.140625" customWidth="1"/>
    <col min="21" max="21" width="12.28515625" customWidth="1"/>
    <col min="23" max="23" width="14.42578125" customWidth="1"/>
  </cols>
  <sheetData>
    <row r="1" spans="1:19" ht="15.75" thickBot="1" x14ac:dyDescent="0.3">
      <c r="B1" t="s">
        <v>208</v>
      </c>
      <c r="C1" s="149">
        <v>8400</v>
      </c>
    </row>
    <row r="2" spans="1:19" ht="27" thickBot="1" x14ac:dyDescent="0.3">
      <c r="B2" t="s">
        <v>209</v>
      </c>
      <c r="C2" s="340">
        <v>2.0000000000000001E-4</v>
      </c>
      <c r="E2" s="76" t="s">
        <v>222</v>
      </c>
      <c r="F2" s="76" t="s">
        <v>219</v>
      </c>
      <c r="G2" s="76" t="s">
        <v>221</v>
      </c>
      <c r="H2" s="76" t="s">
        <v>220</v>
      </c>
    </row>
    <row r="3" spans="1:19" ht="18" thickBot="1" x14ac:dyDescent="0.3">
      <c r="B3" s="273" t="s">
        <v>218</v>
      </c>
      <c r="C3" s="341">
        <f>((G3)*(H3))+(E3)</f>
        <v>0.45</v>
      </c>
      <c r="D3" s="337"/>
      <c r="E3" s="338">
        <v>0.25</v>
      </c>
      <c r="F3" s="338">
        <v>0.25</v>
      </c>
      <c r="G3" s="338">
        <v>0.5</v>
      </c>
      <c r="H3" s="338">
        <v>0.4</v>
      </c>
      <c r="J3" s="339"/>
    </row>
    <row r="4" spans="1:19" x14ac:dyDescent="0.25">
      <c r="B4" s="301" t="s">
        <v>210</v>
      </c>
      <c r="C4" s="328">
        <f>(C1*C2*C3)</f>
        <v>0.75600000000000012</v>
      </c>
    </row>
    <row r="5" spans="1:19" x14ac:dyDescent="0.25">
      <c r="B5" s="354" t="s">
        <v>229</v>
      </c>
    </row>
    <row r="6" spans="1:19" ht="76.5" customHeight="1" x14ac:dyDescent="0.25">
      <c r="B6" s="209" t="s">
        <v>143</v>
      </c>
      <c r="C6" s="249" t="s">
        <v>142</v>
      </c>
      <c r="D6" s="249" t="s">
        <v>131</v>
      </c>
      <c r="E6" s="249" t="s">
        <v>174</v>
      </c>
      <c r="F6" s="249" t="s">
        <v>189</v>
      </c>
      <c r="G6" s="249" t="s">
        <v>190</v>
      </c>
      <c r="H6" s="249" t="s">
        <v>125</v>
      </c>
      <c r="I6" s="249" t="s">
        <v>126</v>
      </c>
      <c r="J6" s="249" t="s">
        <v>127</v>
      </c>
      <c r="K6" s="249" t="s">
        <v>128</v>
      </c>
      <c r="L6" s="249" t="s">
        <v>212</v>
      </c>
      <c r="M6" s="249" t="s">
        <v>211</v>
      </c>
      <c r="N6" s="249" t="s">
        <v>214</v>
      </c>
      <c r="O6" s="249" t="s">
        <v>213</v>
      </c>
      <c r="P6" s="326" t="s">
        <v>215</v>
      </c>
      <c r="Q6" s="326"/>
      <c r="R6" s="326"/>
      <c r="S6" s="326"/>
    </row>
    <row r="7" spans="1:19" ht="4.5" customHeight="1" thickBot="1" x14ac:dyDescent="0.3">
      <c r="B7" s="255"/>
      <c r="P7" s="333"/>
      <c r="Q7" s="333"/>
      <c r="R7" s="254"/>
      <c r="S7" s="254"/>
    </row>
    <row r="8" spans="1:19" ht="21" customHeight="1" thickBot="1" x14ac:dyDescent="0.3">
      <c r="A8" s="250" t="s">
        <v>132</v>
      </c>
      <c r="B8" s="258" t="s">
        <v>144</v>
      </c>
      <c r="C8" s="73">
        <v>30</v>
      </c>
      <c r="D8" s="253">
        <v>0.6</v>
      </c>
      <c r="E8" s="311">
        <v>0.6</v>
      </c>
      <c r="F8" s="166">
        <f t="shared" ref="F8:F15" si="0">(E8)*1000000</f>
        <v>600000</v>
      </c>
      <c r="G8" s="166">
        <f>(F8)/(C8)</f>
        <v>20000</v>
      </c>
      <c r="H8" s="317">
        <v>10</v>
      </c>
      <c r="I8" s="317"/>
      <c r="J8" s="317">
        <f>((H8)*1000000)/(C8)</f>
        <v>333333.33333333331</v>
      </c>
      <c r="K8" s="318" t="str">
        <f>IF((J8)&gt;(G8),"No","Yes")</f>
        <v>No</v>
      </c>
      <c r="L8" s="166">
        <f>5000/(G8)</f>
        <v>0.25</v>
      </c>
      <c r="M8" s="329">
        <f>(L8)*($C$4)</f>
        <v>0.18900000000000003</v>
      </c>
      <c r="N8" s="316">
        <f>((F8)*25/5000)</f>
        <v>3000</v>
      </c>
      <c r="O8" s="315">
        <f>(N8)/($C$4)</f>
        <v>3968.2539682539677</v>
      </c>
      <c r="P8" s="334">
        <f>(((F8)*12/5000))/$C$4</f>
        <v>1904.7619047619044</v>
      </c>
      <c r="Q8" s="334"/>
      <c r="R8" s="254"/>
      <c r="S8" s="254"/>
    </row>
    <row r="9" spans="1:19" ht="15.75" thickBot="1" x14ac:dyDescent="0.3">
      <c r="B9" s="257" t="s">
        <v>79</v>
      </c>
      <c r="C9" s="73">
        <v>30</v>
      </c>
      <c r="D9" s="253">
        <v>0.2</v>
      </c>
      <c r="E9" s="311">
        <f>E31</f>
        <v>0.14925373134328357</v>
      </c>
      <c r="F9" s="166">
        <f t="shared" si="0"/>
        <v>149253.73134328358</v>
      </c>
      <c r="G9" s="166">
        <f t="shared" ref="G9:G22" si="1">(F9)/(C9)</f>
        <v>4975.1243781094527</v>
      </c>
      <c r="H9" s="317">
        <v>1</v>
      </c>
      <c r="I9" s="317"/>
      <c r="J9" s="317">
        <f t="shared" ref="J9:J22" si="2">((H9)*1000000)/(C9)</f>
        <v>33333.333333333336</v>
      </c>
      <c r="K9" s="317"/>
      <c r="L9" s="166">
        <f t="shared" ref="L9:L22" si="3">5000/(G9)</f>
        <v>1.0050000000000001</v>
      </c>
      <c r="M9" s="329">
        <f t="shared" ref="M9:M22" si="4">(L9)*($C$4)</f>
        <v>0.75978000000000023</v>
      </c>
      <c r="N9" s="316">
        <f t="shared" ref="N9:N22" si="5">((F9)*25/5000)</f>
        <v>746.26865671641792</v>
      </c>
      <c r="O9" s="315">
        <f t="shared" ref="O9:O22" si="6">(N9)/($C$4)</f>
        <v>987.12785279949446</v>
      </c>
      <c r="P9" s="334">
        <f t="shared" ref="P9:P22" si="7">(((F9)*12/5000))/$C$4</f>
        <v>473.82136934375734</v>
      </c>
      <c r="Q9" s="334"/>
      <c r="R9" s="254"/>
      <c r="S9" s="254"/>
    </row>
    <row r="10" spans="1:19" ht="30.75" thickBot="1" x14ac:dyDescent="0.3">
      <c r="B10" s="257" t="s">
        <v>80</v>
      </c>
      <c r="C10" s="73">
        <v>30</v>
      </c>
      <c r="D10" s="253">
        <v>0.6</v>
      </c>
      <c r="E10" s="311">
        <f>H32</f>
        <v>5.1337264436823078E-2</v>
      </c>
      <c r="F10" s="166">
        <f t="shared" si="0"/>
        <v>51337.264436823076</v>
      </c>
      <c r="G10" s="166">
        <f t="shared" si="1"/>
        <v>1711.2421478941026</v>
      </c>
      <c r="H10" s="317">
        <v>7.5</v>
      </c>
      <c r="I10" s="317"/>
      <c r="J10" s="317">
        <f t="shared" si="2"/>
        <v>250000</v>
      </c>
      <c r="K10" s="317"/>
      <c r="L10" s="166">
        <f t="shared" si="3"/>
        <v>2.9218541666666669</v>
      </c>
      <c r="M10" s="329">
        <f t="shared" si="4"/>
        <v>2.2089217500000005</v>
      </c>
      <c r="N10" s="316">
        <f t="shared" si="5"/>
        <v>256.6863221841154</v>
      </c>
      <c r="O10" s="315">
        <f t="shared" si="6"/>
        <v>339.53217220121081</v>
      </c>
      <c r="P10" s="334">
        <f t="shared" si="7"/>
        <v>162.97544265658115</v>
      </c>
      <c r="Q10" s="334"/>
      <c r="R10" s="254"/>
      <c r="S10" s="254"/>
    </row>
    <row r="11" spans="1:19" ht="15.75" thickBot="1" x14ac:dyDescent="0.3">
      <c r="B11" s="257" t="s">
        <v>81</v>
      </c>
      <c r="C11" s="73">
        <v>30</v>
      </c>
      <c r="D11" s="253">
        <v>1</v>
      </c>
      <c r="E11" s="311">
        <f>H38</f>
        <v>0.9</v>
      </c>
      <c r="F11" s="166">
        <f t="shared" si="0"/>
        <v>900000</v>
      </c>
      <c r="G11" s="166">
        <f t="shared" si="1"/>
        <v>30000</v>
      </c>
      <c r="H11" s="317">
        <v>10</v>
      </c>
      <c r="I11" s="317"/>
      <c r="J11" s="317">
        <f t="shared" si="2"/>
        <v>333333.33333333331</v>
      </c>
      <c r="K11" s="317"/>
      <c r="L11" s="166">
        <f t="shared" si="3"/>
        <v>0.16666666666666666</v>
      </c>
      <c r="M11" s="329">
        <f t="shared" si="4"/>
        <v>0.126</v>
      </c>
      <c r="N11" s="316">
        <f t="shared" si="5"/>
        <v>4500</v>
      </c>
      <c r="O11" s="315">
        <f t="shared" si="6"/>
        <v>5952.3809523809514</v>
      </c>
      <c r="P11" s="334">
        <f t="shared" si="7"/>
        <v>2857.1428571428569</v>
      </c>
      <c r="Q11" s="334"/>
      <c r="R11" s="254"/>
      <c r="S11" s="254"/>
    </row>
    <row r="12" spans="1:19" ht="30.75" thickBot="1" x14ac:dyDescent="0.3">
      <c r="B12" s="257" t="s">
        <v>194</v>
      </c>
      <c r="C12" s="73">
        <v>30</v>
      </c>
      <c r="D12" s="253">
        <v>0.01</v>
      </c>
      <c r="E12" s="311">
        <f>F39</f>
        <v>9.9464549176930851E-3</v>
      </c>
      <c r="F12" s="166">
        <f t="shared" si="0"/>
        <v>9946.454917693085</v>
      </c>
      <c r="G12" s="166">
        <f t="shared" si="1"/>
        <v>331.54849725643618</v>
      </c>
      <c r="H12" s="317">
        <v>0.1</v>
      </c>
      <c r="I12" s="317"/>
      <c r="J12" s="317">
        <f t="shared" si="2"/>
        <v>3333.3333333333335</v>
      </c>
      <c r="K12" s="317"/>
      <c r="L12" s="166">
        <f t="shared" si="3"/>
        <v>15.08075</v>
      </c>
      <c r="M12" s="329">
        <f t="shared" si="4"/>
        <v>11.401047000000002</v>
      </c>
      <c r="N12" s="316">
        <f t="shared" si="5"/>
        <v>49.732274588465422</v>
      </c>
      <c r="O12" s="315">
        <f t="shared" si="6"/>
        <v>65.783431995324619</v>
      </c>
      <c r="P12" s="334">
        <f t="shared" si="7"/>
        <v>31.576047357755819</v>
      </c>
      <c r="Q12" s="334"/>
      <c r="R12" s="254"/>
      <c r="S12" s="254"/>
    </row>
    <row r="13" spans="1:19" ht="30.75" thickBot="1" x14ac:dyDescent="0.3">
      <c r="B13" s="257" t="s">
        <v>193</v>
      </c>
      <c r="C13" s="73">
        <v>30</v>
      </c>
      <c r="D13" s="253">
        <v>6.0000000000000001E-3</v>
      </c>
      <c r="E13" s="311">
        <f>I33</f>
        <v>5.3721360732222143E-3</v>
      </c>
      <c r="F13" s="166">
        <f t="shared" si="0"/>
        <v>5372.1360732222147</v>
      </c>
      <c r="G13" s="166">
        <f t="shared" si="1"/>
        <v>179.07120244074048</v>
      </c>
      <c r="H13" s="317">
        <v>0.1</v>
      </c>
      <c r="I13" s="317"/>
      <c r="J13" s="317">
        <f t="shared" si="2"/>
        <v>3333.3333333333335</v>
      </c>
      <c r="K13" s="317"/>
      <c r="L13" s="166">
        <f t="shared" si="3"/>
        <v>27.92185416666667</v>
      </c>
      <c r="M13" s="329">
        <f t="shared" si="4"/>
        <v>21.108921750000004</v>
      </c>
      <c r="N13" s="316">
        <f t="shared" si="5"/>
        <v>26.860680366111076</v>
      </c>
      <c r="O13" s="315">
        <f t="shared" si="6"/>
        <v>35.530000484273906</v>
      </c>
      <c r="P13" s="334">
        <f t="shared" si="7"/>
        <v>17.054400232451474</v>
      </c>
      <c r="Q13" s="334"/>
      <c r="R13" s="254"/>
      <c r="S13" s="254"/>
    </row>
    <row r="14" spans="1:19" ht="15.75" thickBot="1" x14ac:dyDescent="0.3">
      <c r="B14" s="258" t="s">
        <v>207</v>
      </c>
      <c r="C14" s="73">
        <v>6.6</v>
      </c>
      <c r="D14" s="253">
        <v>1E-3</v>
      </c>
      <c r="E14" s="311">
        <v>1E-3</v>
      </c>
      <c r="F14" s="166">
        <f t="shared" si="0"/>
        <v>1000</v>
      </c>
      <c r="G14" s="166">
        <f t="shared" si="1"/>
        <v>151.51515151515153</v>
      </c>
      <c r="H14" s="317">
        <v>35</v>
      </c>
      <c r="I14" s="317"/>
      <c r="J14" s="317">
        <f t="shared" si="2"/>
        <v>5303030.3030303037</v>
      </c>
      <c r="K14" s="317"/>
      <c r="L14" s="166">
        <f t="shared" si="3"/>
        <v>33</v>
      </c>
      <c r="M14" s="329">
        <f t="shared" si="4"/>
        <v>24.948000000000004</v>
      </c>
      <c r="N14" s="316">
        <f t="shared" si="5"/>
        <v>5</v>
      </c>
      <c r="O14" s="395">
        <f t="shared" si="6"/>
        <v>6.6137566137566131</v>
      </c>
      <c r="P14" s="334">
        <f t="shared" si="7"/>
        <v>3.174603174603174</v>
      </c>
      <c r="Q14" s="334"/>
      <c r="R14" s="327"/>
      <c r="S14" s="327"/>
    </row>
    <row r="15" spans="1:19" ht="45.75" thickBot="1" x14ac:dyDescent="0.3">
      <c r="B15" s="258" t="s">
        <v>266</v>
      </c>
      <c r="C15" s="325">
        <v>6</v>
      </c>
      <c r="D15" s="73"/>
      <c r="E15" s="311">
        <f>I40</f>
        <v>9.0772977288096791E-4</v>
      </c>
      <c r="F15" s="166">
        <f t="shared" si="0"/>
        <v>907.72977288096786</v>
      </c>
      <c r="G15" s="166">
        <f t="shared" si="1"/>
        <v>151.28829548016131</v>
      </c>
      <c r="H15" s="317">
        <v>20</v>
      </c>
      <c r="I15" s="317"/>
      <c r="J15" s="317">
        <f t="shared" si="2"/>
        <v>3333333.3333333335</v>
      </c>
      <c r="K15" s="317"/>
      <c r="L15" s="166">
        <f t="shared" si="3"/>
        <v>33.049483333333335</v>
      </c>
      <c r="M15" s="330">
        <f t="shared" si="4"/>
        <v>24.985409400000005</v>
      </c>
      <c r="N15" s="316">
        <f t="shared" si="5"/>
        <v>4.5386488644048386</v>
      </c>
      <c r="O15" s="395">
        <f t="shared" si="6"/>
        <v>6.003503788895288</v>
      </c>
      <c r="P15" s="334">
        <f t="shared" si="7"/>
        <v>2.8816818186697386</v>
      </c>
      <c r="Q15" s="334"/>
      <c r="R15" s="254"/>
      <c r="S15" s="254"/>
    </row>
    <row r="16" spans="1:19" ht="3" customHeight="1" thickBot="1" x14ac:dyDescent="0.3">
      <c r="B16" s="263"/>
      <c r="C16" s="73"/>
      <c r="D16" s="73"/>
      <c r="E16" s="317"/>
      <c r="F16" s="166"/>
      <c r="G16" s="166"/>
      <c r="H16" s="317"/>
      <c r="I16" s="317"/>
      <c r="J16" s="317"/>
      <c r="K16" s="317"/>
      <c r="L16" s="166"/>
      <c r="M16" s="329"/>
      <c r="N16" s="316"/>
      <c r="O16" s="315">
        <f t="shared" si="6"/>
        <v>0</v>
      </c>
      <c r="P16" s="334">
        <f t="shared" si="7"/>
        <v>0</v>
      </c>
      <c r="Q16" s="334"/>
      <c r="R16" s="254"/>
      <c r="S16" s="254"/>
    </row>
    <row r="17" spans="2:28" ht="48" thickBot="1" x14ac:dyDescent="0.3">
      <c r="B17" s="259" t="s">
        <v>262</v>
      </c>
      <c r="C17" s="325">
        <v>22</v>
      </c>
      <c r="D17" s="253"/>
      <c r="E17" s="311">
        <f>U36</f>
        <v>3.3600982111009767E-3</v>
      </c>
      <c r="F17" s="166">
        <f>(E17)*1000000</f>
        <v>3360.0982111009766</v>
      </c>
      <c r="G17" s="166">
        <f t="shared" si="1"/>
        <v>152.73173686822622</v>
      </c>
      <c r="H17" s="277">
        <v>35</v>
      </c>
      <c r="I17" s="317"/>
      <c r="J17" s="317">
        <f t="shared" si="2"/>
        <v>1590909.0909090908</v>
      </c>
      <c r="K17" s="317"/>
      <c r="L17" s="166">
        <f t="shared" si="3"/>
        <v>32.737138348095236</v>
      </c>
      <c r="M17" s="329">
        <f t="shared" si="4"/>
        <v>24.749276591160001</v>
      </c>
      <c r="N17" s="316">
        <f t="shared" si="5"/>
        <v>16.800491055504885</v>
      </c>
      <c r="O17" s="332">
        <f t="shared" si="6"/>
        <v>22.222871766540852</v>
      </c>
      <c r="P17" s="334">
        <f t="shared" si="7"/>
        <v>10.666978447939607</v>
      </c>
      <c r="Q17" s="334"/>
      <c r="R17" s="254"/>
      <c r="S17" s="254"/>
    </row>
    <row r="18" spans="2:28" ht="15.75" thickBot="1" x14ac:dyDescent="0.3">
      <c r="B18" s="260" t="s">
        <v>280</v>
      </c>
      <c r="C18" s="73">
        <v>165</v>
      </c>
      <c r="D18" s="253">
        <v>0.04</v>
      </c>
      <c r="E18" s="311">
        <f>M34</f>
        <v>3.9991773120957974E-2</v>
      </c>
      <c r="F18" s="166">
        <f>(E18)*1000000</f>
        <v>39991.773120957972</v>
      </c>
      <c r="G18" s="166">
        <f t="shared" si="1"/>
        <v>242.37438255126045</v>
      </c>
      <c r="H18" s="317">
        <v>100</v>
      </c>
      <c r="I18" s="317"/>
      <c r="J18" s="317">
        <f t="shared" si="2"/>
        <v>606060.60606060608</v>
      </c>
      <c r="K18" s="317"/>
      <c r="L18" s="166">
        <f t="shared" si="3"/>
        <v>20.629242857142856</v>
      </c>
      <c r="M18" s="329">
        <f t="shared" si="4"/>
        <v>15.595707600000001</v>
      </c>
      <c r="N18" s="316">
        <f t="shared" si="5"/>
        <v>199.95886560478985</v>
      </c>
      <c r="O18" s="332">
        <f t="shared" si="6"/>
        <v>264.49585397458969</v>
      </c>
      <c r="P18" s="334">
        <f t="shared" si="7"/>
        <v>126.95800990780306</v>
      </c>
      <c r="Q18" s="334"/>
      <c r="R18" s="327"/>
      <c r="S18" s="327"/>
    </row>
    <row r="19" spans="2:28" ht="15.75" thickBot="1" x14ac:dyDescent="0.3">
      <c r="B19" s="260" t="s">
        <v>191</v>
      </c>
      <c r="C19" s="73">
        <v>265</v>
      </c>
      <c r="D19" s="253">
        <v>0.04</v>
      </c>
      <c r="E19" s="311">
        <f>J46</f>
        <v>3.9999733335111101E-2</v>
      </c>
      <c r="F19" s="166">
        <f>(E19)*1000000</f>
        <v>39999.733335111101</v>
      </c>
      <c r="G19" s="166">
        <f t="shared" si="1"/>
        <v>150.94238994381547</v>
      </c>
      <c r="H19" s="317">
        <v>0.1</v>
      </c>
      <c r="I19" s="317"/>
      <c r="J19" s="317">
        <f t="shared" si="2"/>
        <v>377.35849056603774</v>
      </c>
      <c r="K19" s="317"/>
      <c r="L19" s="166">
        <f t="shared" si="3"/>
        <v>33.12522083333333</v>
      </c>
      <c r="M19" s="329">
        <f t="shared" si="4"/>
        <v>25.042666950000001</v>
      </c>
      <c r="N19" s="316">
        <f t="shared" si="5"/>
        <v>199.99866667555548</v>
      </c>
      <c r="O19" s="332">
        <f t="shared" si="6"/>
        <v>264.54850089359189</v>
      </c>
      <c r="P19" s="334">
        <f t="shared" si="7"/>
        <v>126.98328042892412</v>
      </c>
      <c r="Q19" s="334"/>
      <c r="R19" s="254"/>
      <c r="S19" s="254"/>
    </row>
    <row r="20" spans="2:28" ht="15.75" thickBot="1" x14ac:dyDescent="0.3">
      <c r="B20" s="261" t="s">
        <v>192</v>
      </c>
      <c r="C20" s="73">
        <v>265</v>
      </c>
      <c r="D20" s="253">
        <v>0.04</v>
      </c>
      <c r="E20" s="311">
        <v>0.04</v>
      </c>
      <c r="F20" s="166">
        <f>(E20)*1000000</f>
        <v>40000</v>
      </c>
      <c r="G20" s="166">
        <f t="shared" si="1"/>
        <v>150.9433962264151</v>
      </c>
      <c r="H20" s="317">
        <v>0.1</v>
      </c>
      <c r="I20" s="317"/>
      <c r="J20" s="317">
        <f t="shared" si="2"/>
        <v>377.35849056603774</v>
      </c>
      <c r="K20" s="317"/>
      <c r="L20" s="166">
        <f t="shared" si="3"/>
        <v>33.125</v>
      </c>
      <c r="M20" s="329">
        <f t="shared" si="4"/>
        <v>25.042500000000004</v>
      </c>
      <c r="N20" s="316">
        <f t="shared" si="5"/>
        <v>200</v>
      </c>
      <c r="O20" s="332">
        <f t="shared" si="6"/>
        <v>264.5502645502645</v>
      </c>
      <c r="P20" s="334">
        <f t="shared" si="7"/>
        <v>126.98412698412696</v>
      </c>
      <c r="Q20" s="334"/>
    </row>
    <row r="21" spans="2:28" ht="3" customHeight="1" thickBot="1" x14ac:dyDescent="0.3">
      <c r="B21" s="264"/>
      <c r="C21" s="73"/>
      <c r="D21" s="73"/>
      <c r="E21" s="324"/>
      <c r="F21" s="166"/>
      <c r="G21" s="166"/>
      <c r="H21" s="317"/>
      <c r="I21" s="317"/>
      <c r="J21" s="317"/>
      <c r="K21" s="317"/>
      <c r="L21" s="166"/>
      <c r="M21" s="329"/>
      <c r="N21" s="316"/>
      <c r="O21" s="315">
        <f t="shared" si="6"/>
        <v>0</v>
      </c>
      <c r="P21" s="334">
        <f t="shared" si="7"/>
        <v>0</v>
      </c>
      <c r="Q21" s="334"/>
    </row>
    <row r="22" spans="2:28" ht="15.75" thickBot="1" x14ac:dyDescent="0.3">
      <c r="B22" s="262" t="s">
        <v>83</v>
      </c>
      <c r="C22" s="73">
        <v>2700</v>
      </c>
      <c r="D22" s="253">
        <v>400</v>
      </c>
      <c r="E22" s="311">
        <v>400</v>
      </c>
      <c r="F22" s="166">
        <f>(E22)*1000000</f>
        <v>400000000</v>
      </c>
      <c r="G22" s="166">
        <f t="shared" si="1"/>
        <v>148148.14814814815</v>
      </c>
      <c r="H22" s="317">
        <v>144</v>
      </c>
      <c r="I22" s="317"/>
      <c r="J22" s="317">
        <f t="shared" si="2"/>
        <v>53333.333333333336</v>
      </c>
      <c r="K22" s="317"/>
      <c r="L22" s="166">
        <f t="shared" si="3"/>
        <v>3.3750000000000002E-2</v>
      </c>
      <c r="M22" s="335">
        <f t="shared" si="4"/>
        <v>2.5515000000000006E-2</v>
      </c>
      <c r="N22" s="316">
        <f t="shared" si="5"/>
        <v>2000000</v>
      </c>
      <c r="O22" s="315">
        <f t="shared" si="6"/>
        <v>2645502.6455026451</v>
      </c>
      <c r="P22" s="334">
        <f t="shared" si="7"/>
        <v>1269841.2698412696</v>
      </c>
      <c r="Q22" s="334"/>
    </row>
    <row r="23" spans="2:28" ht="17.25" x14ac:dyDescent="0.25">
      <c r="B23" s="275" t="s">
        <v>216</v>
      </c>
      <c r="C23" s="275"/>
      <c r="O23" s="315"/>
    </row>
    <row r="24" spans="2:28" ht="51.75" x14ac:dyDescent="0.25">
      <c r="B24" s="300" t="s">
        <v>267</v>
      </c>
    </row>
    <row r="25" spans="2:28" ht="111.75" customHeight="1" x14ac:dyDescent="0.25">
      <c r="B25" s="300" t="s">
        <v>217</v>
      </c>
      <c r="C25" s="336"/>
      <c r="D25" s="336"/>
      <c r="E25" s="336"/>
      <c r="F25" s="336"/>
      <c r="G25" s="336"/>
      <c r="H25" s="336"/>
    </row>
    <row r="26" spans="2:28" ht="15.75" thickBot="1" x14ac:dyDescent="0.3">
      <c r="B26" s="300"/>
    </row>
    <row r="27" spans="2:28" ht="15.75" thickBot="1" x14ac:dyDescent="0.3">
      <c r="N27" s="466" t="s">
        <v>270</v>
      </c>
      <c r="O27" s="460"/>
      <c r="P27" s="461"/>
      <c r="Q27" s="462"/>
      <c r="R27" s="463"/>
      <c r="S27" s="299"/>
      <c r="T27" s="295"/>
      <c r="U27" s="296"/>
    </row>
    <row r="28" spans="2:28" x14ac:dyDescent="0.25">
      <c r="B28" s="282" t="s">
        <v>160</v>
      </c>
      <c r="C28" s="270">
        <f>C30*10000</f>
        <v>6000</v>
      </c>
      <c r="D28" s="270">
        <f t="shared" ref="D28:M28" si="8">D30*10000</f>
        <v>300000</v>
      </c>
      <c r="E28" s="270">
        <f t="shared" si="8"/>
        <v>2000</v>
      </c>
      <c r="F28" s="270">
        <f t="shared" si="8"/>
        <v>900</v>
      </c>
      <c r="G28" s="270">
        <f t="shared" si="8"/>
        <v>8000000</v>
      </c>
      <c r="H28" s="270">
        <f t="shared" si="8"/>
        <v>6000</v>
      </c>
      <c r="I28" s="270">
        <f t="shared" si="8"/>
        <v>60</v>
      </c>
      <c r="J28" s="270">
        <f t="shared" si="8"/>
        <v>400</v>
      </c>
      <c r="K28" s="270">
        <f t="shared" si="8"/>
        <v>70000000</v>
      </c>
      <c r="L28" s="270">
        <f t="shared" si="8"/>
        <v>2000000</v>
      </c>
      <c r="M28" s="270">
        <f t="shared" si="8"/>
        <v>400</v>
      </c>
      <c r="N28" s="285">
        <f>N30*10000</f>
        <v>6000000</v>
      </c>
      <c r="O28" s="285">
        <f t="shared" ref="O28:U28" si="9">O30*10000</f>
        <v>7000</v>
      </c>
      <c r="P28" s="285">
        <f t="shared" si="9"/>
        <v>8000000</v>
      </c>
      <c r="Q28" s="285">
        <f t="shared" si="9"/>
        <v>3000</v>
      </c>
      <c r="R28" s="285">
        <f t="shared" si="9"/>
        <v>4</v>
      </c>
      <c r="S28" s="285">
        <f t="shared" si="9"/>
        <v>20</v>
      </c>
      <c r="T28" s="285">
        <f t="shared" si="9"/>
        <v>60000000</v>
      </c>
      <c r="U28" s="285">
        <f t="shared" si="9"/>
        <v>400</v>
      </c>
      <c r="V28" s="270"/>
      <c r="W28" s="270"/>
      <c r="X28" s="73"/>
      <c r="Y28" s="73"/>
      <c r="Z28" s="73"/>
      <c r="AA28" s="73"/>
      <c r="AB28" s="73"/>
    </row>
    <row r="29" spans="2:28" x14ac:dyDescent="0.25">
      <c r="B29" s="273" t="s">
        <v>150</v>
      </c>
      <c r="C29" s="209" t="s">
        <v>144</v>
      </c>
      <c r="D29" s="209" t="s">
        <v>195</v>
      </c>
      <c r="E29" s="209" t="s">
        <v>145</v>
      </c>
      <c r="F29" s="209" t="s">
        <v>196</v>
      </c>
      <c r="G29" s="209" t="s">
        <v>148</v>
      </c>
      <c r="H29" s="209" t="s">
        <v>149</v>
      </c>
      <c r="I29" s="209" t="s">
        <v>197</v>
      </c>
      <c r="J29" s="209" t="s">
        <v>198</v>
      </c>
      <c r="K29" s="209" t="s">
        <v>199</v>
      </c>
      <c r="L29" s="209" t="s">
        <v>155</v>
      </c>
      <c r="M29" s="209" t="s">
        <v>200</v>
      </c>
      <c r="N29" s="266" t="s">
        <v>166</v>
      </c>
      <c r="O29" s="267" t="s">
        <v>167</v>
      </c>
      <c r="P29" s="267" t="s">
        <v>168</v>
      </c>
      <c r="Q29" s="267" t="s">
        <v>169</v>
      </c>
      <c r="R29" s="267" t="s">
        <v>201</v>
      </c>
      <c r="S29" s="267" t="s">
        <v>202</v>
      </c>
      <c r="T29" s="267" t="s">
        <v>172</v>
      </c>
      <c r="U29" s="288" t="s">
        <v>203</v>
      </c>
      <c r="V29" s="209"/>
      <c r="W29" s="209"/>
      <c r="X29" s="73"/>
      <c r="Y29" s="73"/>
      <c r="Z29" s="73"/>
      <c r="AA29" s="73"/>
      <c r="AB29" s="73"/>
    </row>
    <row r="30" spans="2:28" x14ac:dyDescent="0.25">
      <c r="B30" s="273" t="s">
        <v>151</v>
      </c>
      <c r="C30" s="311">
        <v>0.6</v>
      </c>
      <c r="D30" s="311">
        <v>30</v>
      </c>
      <c r="E30" s="311">
        <v>0.2</v>
      </c>
      <c r="F30" s="311">
        <v>0.09</v>
      </c>
      <c r="G30" s="311">
        <v>800</v>
      </c>
      <c r="H30" s="311">
        <v>0.6</v>
      </c>
      <c r="I30" s="311">
        <v>6.0000000000000001E-3</v>
      </c>
      <c r="J30" s="311">
        <v>0.04</v>
      </c>
      <c r="K30" s="311">
        <v>7000</v>
      </c>
      <c r="L30" s="311">
        <v>200</v>
      </c>
      <c r="M30" s="311">
        <v>0.04</v>
      </c>
      <c r="N30" s="319">
        <v>600</v>
      </c>
      <c r="O30" s="320">
        <v>0.7</v>
      </c>
      <c r="P30" s="320">
        <v>800</v>
      </c>
      <c r="Q30" s="320">
        <v>0.3</v>
      </c>
      <c r="R30" s="320">
        <v>4.0000000000000002E-4</v>
      </c>
      <c r="S30" s="320">
        <v>2E-3</v>
      </c>
      <c r="T30" s="320">
        <v>6000</v>
      </c>
      <c r="U30" s="321">
        <v>0.04</v>
      </c>
      <c r="V30" s="253"/>
      <c r="W30" s="253"/>
    </row>
    <row r="31" spans="2:28" ht="18.75" thickBot="1" x14ac:dyDescent="0.4">
      <c r="B31" s="164" t="s">
        <v>159</v>
      </c>
      <c r="C31" s="271">
        <f>LCM(C28:E28)</f>
        <v>300000</v>
      </c>
      <c r="D31" s="271"/>
      <c r="E31" s="73">
        <f>(C31)/(((C31)/(C30))+((C31)/(D30))+((C31)/(E30)))</f>
        <v>0.14925373134328357</v>
      </c>
      <c r="N31" s="293"/>
      <c r="O31" s="294"/>
      <c r="P31" s="294"/>
      <c r="Q31" s="294"/>
      <c r="R31" s="294"/>
      <c r="S31" s="294"/>
      <c r="T31" s="291">
        <f>LCM(T28:U28)</f>
        <v>60000000</v>
      </c>
      <c r="U31" s="292">
        <f>(T31)/(((T31)/(T30))+((T31)/(U30)))</f>
        <v>3.9999733335111101E-2</v>
      </c>
      <c r="V31" s="277"/>
      <c r="W31" s="253"/>
    </row>
    <row r="32" spans="2:28" ht="36" x14ac:dyDescent="0.35">
      <c r="B32" s="164" t="s">
        <v>162</v>
      </c>
      <c r="C32" s="271">
        <f>LCM(C28:H28)</f>
        <v>72000000</v>
      </c>
      <c r="D32" s="271"/>
      <c r="E32" s="269"/>
      <c r="F32" s="272"/>
      <c r="G32" s="272"/>
      <c r="H32" s="73">
        <f>(C32)/(((C32)/($C$30))+((C32)/($D$30))+((C32)/($E$30))+((C32)/($F$30))+((C32)/($G$30))+((C32)/($H$30)))</f>
        <v>5.1337264436823078E-2</v>
      </c>
      <c r="N32" s="253">
        <f>$T$35/N30</f>
        <v>4200000</v>
      </c>
      <c r="O32" s="253">
        <f t="shared" ref="O32:U32" si="10">$T$35/O30</f>
        <v>3600000000</v>
      </c>
      <c r="P32" s="253">
        <f t="shared" si="10"/>
        <v>3150000</v>
      </c>
      <c r="Q32" s="253">
        <f t="shared" si="10"/>
        <v>8400000000</v>
      </c>
      <c r="R32" s="253">
        <f t="shared" si="10"/>
        <v>6300000000000</v>
      </c>
      <c r="S32" s="253">
        <f t="shared" si="10"/>
        <v>1260000000000</v>
      </c>
      <c r="T32" s="253">
        <f t="shared" si="10"/>
        <v>420000</v>
      </c>
      <c r="U32" s="253">
        <f t="shared" si="10"/>
        <v>63000000000</v>
      </c>
      <c r="V32" s="150">
        <f>SUM(N32:U32)</f>
        <v>7635007770000</v>
      </c>
    </row>
    <row r="33" spans="2:23" ht="36" x14ac:dyDescent="0.35">
      <c r="B33" s="276" t="s">
        <v>163</v>
      </c>
      <c r="C33" s="271">
        <f>LCM(C28:I28)</f>
        <v>72000000</v>
      </c>
      <c r="D33" s="271"/>
      <c r="E33" s="269"/>
      <c r="F33" s="272"/>
      <c r="G33" s="272"/>
      <c r="H33" s="269"/>
      <c r="I33" s="274">
        <f>(C33)/(((C33)/($C$30))+((C33)/($D$30))+((C33)/($E$30))+((C33)/($F$30))+((C33)/($G$30))+((C33)/($H$30))+((C33)/($I$30)))</f>
        <v>5.3721360732222143E-3</v>
      </c>
      <c r="N33" s="150">
        <f>N32*-2</f>
        <v>-8400000</v>
      </c>
      <c r="O33" s="150">
        <f t="shared" ref="O33:U33" si="11">O32*-2</f>
        <v>-7200000000</v>
      </c>
      <c r="P33" s="150">
        <f t="shared" si="11"/>
        <v>-6300000</v>
      </c>
      <c r="Q33" s="150">
        <f t="shared" si="11"/>
        <v>-16800000000</v>
      </c>
      <c r="R33" s="150">
        <f t="shared" si="11"/>
        <v>-12600000000000</v>
      </c>
      <c r="S33" s="150">
        <f t="shared" si="11"/>
        <v>-2520000000000</v>
      </c>
      <c r="T33" s="150">
        <f t="shared" si="11"/>
        <v>-840000</v>
      </c>
      <c r="U33" s="150">
        <f t="shared" si="11"/>
        <v>-126000000000</v>
      </c>
      <c r="V33" s="150">
        <f>SUM(N33:U33)</f>
        <v>-15270015540000</v>
      </c>
      <c r="W33" s="252" t="s">
        <v>176</v>
      </c>
    </row>
    <row r="34" spans="2:23" ht="18" x14ac:dyDescent="0.35">
      <c r="B34" s="276" t="s">
        <v>161</v>
      </c>
      <c r="C34" s="276"/>
      <c r="D34" s="277"/>
      <c r="E34" s="278"/>
      <c r="F34" s="28"/>
      <c r="G34" s="28"/>
      <c r="H34" s="278"/>
      <c r="I34" s="274"/>
      <c r="J34" s="280"/>
      <c r="K34" s="271">
        <f>LCM(K28:M28)</f>
        <v>70000000</v>
      </c>
      <c r="L34" s="279"/>
      <c r="M34" s="253">
        <f>(K34)/(((K34)/(K30))+((K34)/(L30))+((K34)/(M30)))</f>
        <v>3.9991773120957974E-2</v>
      </c>
    </row>
    <row r="35" spans="2:23" ht="41.25" x14ac:dyDescent="0.25">
      <c r="B35" s="276" t="s">
        <v>175</v>
      </c>
      <c r="C35" s="322">
        <f>C37*10000</f>
        <v>2000000</v>
      </c>
      <c r="D35" s="322">
        <f t="shared" ref="D35:I35" si="12">D37*10000</f>
        <v>300000</v>
      </c>
      <c r="E35" s="322">
        <f t="shared" si="12"/>
        <v>20000</v>
      </c>
      <c r="F35" s="322">
        <f t="shared" si="12"/>
        <v>100</v>
      </c>
      <c r="G35" s="322">
        <f t="shared" si="12"/>
        <v>90000</v>
      </c>
      <c r="H35" s="322">
        <f t="shared" si="12"/>
        <v>10000</v>
      </c>
      <c r="I35" s="322">
        <f t="shared" si="12"/>
        <v>10</v>
      </c>
      <c r="J35" s="279"/>
      <c r="K35" s="271"/>
      <c r="L35" s="279"/>
      <c r="M35" s="298"/>
      <c r="N35" s="272"/>
      <c r="O35" s="272"/>
      <c r="P35" s="272"/>
      <c r="Q35" s="272"/>
      <c r="R35" s="272"/>
      <c r="S35" s="272"/>
      <c r="T35" s="271">
        <f>LCM(C28:U28)</f>
        <v>2520000000</v>
      </c>
      <c r="U35" s="274">
        <f>((T35/$C$30)*0.978)+((T35/$D$30)*0.978)+((T35/$E$30)*0.978)+((T35/$F$30)*0.978)+((T35/$G$30)*0.978)+((T35/$H$30)*0.978)+((T35/$I$30)*0.978)+((T35/$K$30)*0.978)+((T35/$L$30)*0.978)+((T35/$M$30)*0.978)+((T35/J30)*0.978)+((T35/$N$30)*0.022)+((T35/$O$30)*0.022)+((T35/$P$30)*0.022)+((T35/$Q$30)*0.022)+((T35/$R$30)*0.022)+((T35/$S$30)*0.022)+((T35/$T$30)*0.022)+((T35/$U$30)*0.022)</f>
        <v>749978078520</v>
      </c>
      <c r="V35" s="274"/>
    </row>
    <row r="36" spans="2:23" x14ac:dyDescent="0.25">
      <c r="B36" s="276"/>
      <c r="C36" s="307" t="s">
        <v>204</v>
      </c>
      <c r="D36" s="308" t="s">
        <v>180</v>
      </c>
      <c r="E36" s="308" t="s">
        <v>181</v>
      </c>
      <c r="F36" s="308" t="s">
        <v>205</v>
      </c>
      <c r="G36" s="309" t="s">
        <v>206</v>
      </c>
      <c r="H36" s="308" t="s">
        <v>182</v>
      </c>
      <c r="I36" s="308" t="s">
        <v>207</v>
      </c>
      <c r="J36" s="280"/>
      <c r="K36" s="277"/>
      <c r="L36" s="280"/>
      <c r="M36" s="306"/>
      <c r="N36" s="28"/>
      <c r="O36" s="28"/>
      <c r="P36" s="28"/>
      <c r="Q36" s="28"/>
      <c r="R36" s="28"/>
      <c r="S36" s="28"/>
      <c r="T36" s="277"/>
      <c r="U36" s="274">
        <f>(T35)/(U35)</f>
        <v>3.3600982111009767E-3</v>
      </c>
    </row>
    <row r="37" spans="2:23" x14ac:dyDescent="0.25">
      <c r="B37" s="276"/>
      <c r="C37" s="312">
        <v>200</v>
      </c>
      <c r="D37" s="310">
        <v>30</v>
      </c>
      <c r="E37" s="310">
        <v>2</v>
      </c>
      <c r="F37" s="310">
        <v>0.01</v>
      </c>
      <c r="G37" s="310">
        <v>9</v>
      </c>
      <c r="H37" s="310">
        <v>1</v>
      </c>
      <c r="I37" s="311">
        <v>1E-3</v>
      </c>
      <c r="J37" s="280"/>
      <c r="K37" s="277"/>
      <c r="L37" s="280"/>
      <c r="M37" s="253"/>
      <c r="P37" s="73"/>
      <c r="S37" s="252"/>
    </row>
    <row r="38" spans="2:23" ht="18" x14ac:dyDescent="0.35">
      <c r="B38" s="276" t="s">
        <v>152</v>
      </c>
      <c r="C38" s="276"/>
      <c r="G38" s="271">
        <f>LCM(G35:H35)</f>
        <v>90000</v>
      </c>
      <c r="H38" s="306">
        <f>(G38)/(((G38)/(G37))+(G38)/(H37))</f>
        <v>0.9</v>
      </c>
      <c r="P38" s="73"/>
    </row>
    <row r="39" spans="2:23" ht="18" x14ac:dyDescent="0.35">
      <c r="B39" s="276" t="s">
        <v>185</v>
      </c>
      <c r="C39" s="297"/>
      <c r="D39" s="272"/>
      <c r="E39" s="271">
        <f>LCM(C35:F35)</f>
        <v>6000000</v>
      </c>
      <c r="F39" s="306">
        <f>(E39)/(((E39)/(C37))+(E39)/(D37)+(E39)/(E37)+(E39)/(F37))</f>
        <v>9.9464549176930851E-3</v>
      </c>
      <c r="P39" s="73"/>
      <c r="R39" s="150"/>
    </row>
    <row r="40" spans="2:23" x14ac:dyDescent="0.25">
      <c r="B40" s="323" t="s">
        <v>82</v>
      </c>
      <c r="C40" s="313"/>
      <c r="D40" s="272"/>
      <c r="E40" s="272"/>
      <c r="F40" s="272"/>
      <c r="G40" s="272"/>
      <c r="H40" s="271">
        <f>LCM(C35:I35)</f>
        <v>18000000</v>
      </c>
      <c r="I40" s="274">
        <f>(H40)/(((H40)/($C$37))+((H40)/($D$37))+((H40)/($E$37))+((H40)/($F$37))+((H40)/($G$37))+((H40)/($H$37))+((H40)/($I$37)))</f>
        <v>9.0772977288096791E-4</v>
      </c>
      <c r="R40" s="150"/>
      <c r="S40" s="252"/>
    </row>
    <row r="41" spans="2:23" x14ac:dyDescent="0.25">
      <c r="B41" s="164"/>
      <c r="C41" s="164"/>
      <c r="Q41" s="301"/>
      <c r="R41" s="150"/>
    </row>
    <row r="42" spans="2:23" ht="3" customHeight="1" x14ac:dyDescent="0.25">
      <c r="B42" s="283"/>
      <c r="C42" s="283"/>
      <c r="D42" s="284"/>
      <c r="E42" s="284"/>
      <c r="F42" s="284"/>
      <c r="G42" s="284"/>
      <c r="H42" s="284"/>
      <c r="I42" s="284"/>
      <c r="J42" s="284"/>
      <c r="K42" s="284"/>
      <c r="L42" s="284"/>
      <c r="M42" s="284"/>
    </row>
    <row r="43" spans="2:23" x14ac:dyDescent="0.25">
      <c r="C43" s="270">
        <f>C45*10000</f>
        <v>6000000</v>
      </c>
      <c r="D43" s="270">
        <f t="shared" ref="D43:J43" si="13">D45*10000</f>
        <v>7000</v>
      </c>
      <c r="E43" s="270">
        <f t="shared" si="13"/>
        <v>8000000</v>
      </c>
      <c r="F43" s="270">
        <f t="shared" si="13"/>
        <v>3000</v>
      </c>
      <c r="G43" s="270">
        <f t="shared" si="13"/>
        <v>4</v>
      </c>
      <c r="H43" s="270">
        <f t="shared" si="13"/>
        <v>20</v>
      </c>
      <c r="I43" s="270">
        <f t="shared" si="13"/>
        <v>60000000</v>
      </c>
      <c r="J43" s="270">
        <f t="shared" si="13"/>
        <v>400</v>
      </c>
    </row>
    <row r="44" spans="2:23" x14ac:dyDescent="0.25">
      <c r="C44" s="209" t="s">
        <v>166</v>
      </c>
      <c r="D44" s="209" t="s">
        <v>167</v>
      </c>
      <c r="E44" s="209" t="s">
        <v>168</v>
      </c>
      <c r="F44" s="209" t="s">
        <v>169</v>
      </c>
      <c r="G44" s="209" t="s">
        <v>201</v>
      </c>
      <c r="H44" s="209" t="s">
        <v>202</v>
      </c>
      <c r="I44" s="209" t="s">
        <v>172</v>
      </c>
      <c r="J44" s="209" t="s">
        <v>203</v>
      </c>
    </row>
    <row r="45" spans="2:23" x14ac:dyDescent="0.25">
      <c r="C45" s="253">
        <v>600</v>
      </c>
      <c r="D45" s="253">
        <v>0.7</v>
      </c>
      <c r="E45" s="253">
        <v>800</v>
      </c>
      <c r="F45" s="253">
        <v>0.3</v>
      </c>
      <c r="G45" s="253">
        <v>4.0000000000000002E-4</v>
      </c>
      <c r="H45" s="253">
        <v>2E-3</v>
      </c>
      <c r="I45" s="253">
        <v>6000</v>
      </c>
      <c r="J45" s="253">
        <v>0.04</v>
      </c>
    </row>
    <row r="46" spans="2:23" x14ac:dyDescent="0.25">
      <c r="B46" s="265" t="s">
        <v>165</v>
      </c>
      <c r="C46" s="73"/>
      <c r="I46" s="271">
        <f>LCM(I43:J43)</f>
        <v>60000000</v>
      </c>
      <c r="J46" s="253">
        <f>(I46)/(((I46)/(I45))+((I46)/(J45)))</f>
        <v>3.9999733335111101E-2</v>
      </c>
    </row>
    <row r="47" spans="2:23" x14ac:dyDescent="0.25">
      <c r="B47" s="265"/>
      <c r="C47" s="73"/>
      <c r="I47" s="277"/>
      <c r="J47" s="253"/>
    </row>
    <row r="49" spans="2:14" x14ac:dyDescent="0.25">
      <c r="B49" s="255" t="s">
        <v>223</v>
      </c>
    </row>
    <row r="50" spans="2:14" ht="13.5" customHeight="1" x14ac:dyDescent="0.25">
      <c r="B50" s="268"/>
      <c r="C50" s="268"/>
      <c r="D50" s="268"/>
      <c r="E50" s="268"/>
      <c r="F50" s="268"/>
      <c r="G50" s="268"/>
      <c r="H50" s="268"/>
      <c r="I50" s="268"/>
      <c r="J50" s="268"/>
      <c r="K50" s="268"/>
      <c r="L50" s="268"/>
      <c r="M50" s="268"/>
      <c r="N50" s="268"/>
    </row>
    <row r="52" spans="2:14" x14ac:dyDescent="0.25">
      <c r="B52" t="s">
        <v>112</v>
      </c>
    </row>
    <row r="53" spans="2:14" x14ac:dyDescent="0.25">
      <c r="B53" s="255"/>
      <c r="C53" s="255"/>
    </row>
    <row r="54" spans="2:14" ht="17.25" x14ac:dyDescent="0.25">
      <c r="B54" s="413" t="s">
        <v>133</v>
      </c>
      <c r="C54" s="413"/>
      <c r="D54" s="413"/>
      <c r="E54" s="413"/>
      <c r="F54" s="413"/>
      <c r="G54" s="413"/>
      <c r="H54" s="413"/>
      <c r="I54" s="413"/>
      <c r="J54" s="413"/>
      <c r="K54" s="413"/>
      <c r="L54" s="413"/>
      <c r="M54" s="413"/>
      <c r="N54" s="413"/>
    </row>
    <row r="55" spans="2:14" x14ac:dyDescent="0.25">
      <c r="B55" s="256" t="s">
        <v>134</v>
      </c>
      <c r="C55" s="256"/>
      <c r="D55" s="204"/>
      <c r="E55" s="204"/>
      <c r="F55" s="245"/>
      <c r="G55" s="204"/>
      <c r="H55" s="204"/>
      <c r="I55" s="204"/>
      <c r="J55" s="204"/>
      <c r="K55" s="245"/>
      <c r="L55" s="204"/>
      <c r="M55" s="204"/>
      <c r="N55" s="204"/>
    </row>
    <row r="56" spans="2:14" x14ac:dyDescent="0.25">
      <c r="B56" s="413" t="s">
        <v>135</v>
      </c>
      <c r="C56" s="413"/>
      <c r="D56" s="413"/>
      <c r="E56" s="413"/>
      <c r="F56" s="413"/>
      <c r="G56" s="413"/>
      <c r="H56" s="413"/>
      <c r="I56" s="413"/>
      <c r="J56" s="413"/>
      <c r="K56" s="413"/>
      <c r="L56" s="413"/>
      <c r="M56" s="413"/>
      <c r="N56" s="413"/>
    </row>
    <row r="57" spans="2:14" x14ac:dyDescent="0.25">
      <c r="B57" s="204" t="s">
        <v>136</v>
      </c>
      <c r="C57" s="245"/>
      <c r="D57" s="204"/>
      <c r="E57" s="204"/>
      <c r="F57" s="245"/>
      <c r="G57" s="204"/>
      <c r="H57" s="204"/>
      <c r="I57" s="204"/>
      <c r="J57" s="204"/>
      <c r="K57" s="245"/>
      <c r="L57" s="204"/>
      <c r="M57" s="204"/>
      <c r="N57" s="204"/>
    </row>
    <row r="58" spans="2:14" x14ac:dyDescent="0.25">
      <c r="B58" s="413" t="s">
        <v>137</v>
      </c>
      <c r="C58" s="413"/>
      <c r="D58" s="413"/>
      <c r="E58" s="413"/>
      <c r="F58" s="413"/>
      <c r="G58" s="413"/>
      <c r="H58" s="413"/>
      <c r="I58" s="413"/>
      <c r="J58" s="413"/>
      <c r="K58" s="413"/>
      <c r="L58" s="413"/>
      <c r="M58" s="413"/>
      <c r="N58" s="413"/>
    </row>
    <row r="59" spans="2:14" x14ac:dyDescent="0.25">
      <c r="B59" s="435" t="s">
        <v>138</v>
      </c>
      <c r="C59" s="435"/>
      <c r="D59" s="435"/>
      <c r="E59" s="435"/>
      <c r="F59" s="435"/>
      <c r="G59" s="435"/>
      <c r="H59" s="435"/>
      <c r="I59" s="435"/>
      <c r="J59" s="435"/>
      <c r="K59" s="435"/>
      <c r="L59" s="435"/>
      <c r="M59" s="435"/>
      <c r="N59" s="435"/>
    </row>
    <row r="64" spans="2:14" x14ac:dyDescent="0.25">
      <c r="B64" t="s">
        <v>139</v>
      </c>
    </row>
    <row r="65" spans="2:2" x14ac:dyDescent="0.25">
      <c r="B65" t="s">
        <v>140</v>
      </c>
    </row>
    <row r="66" spans="2:2" x14ac:dyDescent="0.25">
      <c r="B66" t="s">
        <v>141</v>
      </c>
    </row>
  </sheetData>
  <mergeCells count="6">
    <mergeCell ref="N27:P27"/>
    <mergeCell ref="Q27:R27"/>
    <mergeCell ref="B59:N59"/>
    <mergeCell ref="B54:N54"/>
    <mergeCell ref="B56:N56"/>
    <mergeCell ref="B58:N58"/>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E141"/>
  <sheetViews>
    <sheetView workbookViewId="0">
      <selection activeCell="J22" sqref="J22"/>
    </sheetView>
  </sheetViews>
  <sheetFormatPr defaultRowHeight="15" x14ac:dyDescent="0.25"/>
  <cols>
    <col min="1" max="1" width="17.5703125" customWidth="1"/>
    <col min="2" max="2" width="16.5703125" customWidth="1"/>
    <col min="3" max="3" width="15.5703125" customWidth="1"/>
    <col min="4" max="4" width="11.140625" customWidth="1"/>
    <col min="5" max="5" width="10.5703125" customWidth="1"/>
    <col min="6" max="6" width="12.7109375" customWidth="1"/>
    <col min="7" max="7" width="12.28515625" customWidth="1"/>
    <col min="8" max="8" width="18.28515625" customWidth="1"/>
    <col min="9" max="9" width="15" bestFit="1" customWidth="1"/>
    <col min="10" max="10" width="18.85546875" customWidth="1"/>
    <col min="11" max="11" width="11" customWidth="1"/>
    <col min="12" max="12" width="20.28515625" customWidth="1"/>
    <col min="13" max="13" width="15" customWidth="1"/>
    <col min="14" max="14" width="19.85546875" customWidth="1"/>
    <col min="15" max="15" width="16.140625" customWidth="1"/>
    <col min="16" max="16" width="19.140625" customWidth="1"/>
    <col min="17" max="29" width="16.140625" customWidth="1"/>
    <col min="30" max="30" width="17.140625" customWidth="1"/>
    <col min="31" max="31" width="10.7109375" customWidth="1"/>
  </cols>
  <sheetData>
    <row r="3" spans="1:31" ht="19.5" thickBot="1" x14ac:dyDescent="0.35">
      <c r="C3" s="397" t="s">
        <v>281</v>
      </c>
    </row>
    <row r="4" spans="1:31" ht="15.75" thickBot="1" x14ac:dyDescent="0.3">
      <c r="A4" s="410"/>
      <c r="B4" s="411"/>
      <c r="C4" s="411"/>
      <c r="D4" s="411"/>
      <c r="E4" s="411"/>
      <c r="F4" s="411"/>
      <c r="G4" s="411"/>
      <c r="H4" s="411"/>
      <c r="I4" s="411"/>
      <c r="J4" s="411"/>
      <c r="K4" s="411"/>
      <c r="L4" s="411"/>
      <c r="M4" s="411"/>
      <c r="N4" s="412"/>
      <c r="O4" s="124"/>
      <c r="P4" s="124"/>
      <c r="Q4" s="124"/>
      <c r="R4" s="124"/>
      <c r="S4" s="124"/>
      <c r="T4" s="124"/>
      <c r="U4" s="124"/>
      <c r="V4" s="124"/>
      <c r="W4" s="398" t="s">
        <v>282</v>
      </c>
      <c r="X4" s="124"/>
      <c r="Y4" s="124"/>
      <c r="Z4" s="124"/>
      <c r="AA4" s="124"/>
      <c r="AB4" s="124"/>
      <c r="AC4" s="124"/>
      <c r="AD4" s="124"/>
    </row>
    <row r="5" spans="1:31" ht="15.75" customHeight="1" thickBot="1" x14ac:dyDescent="0.3">
      <c r="A5" s="35"/>
      <c r="B5" s="36"/>
      <c r="C5" s="36"/>
      <c r="D5" s="148"/>
      <c r="E5" s="37"/>
      <c r="F5" s="425" t="s">
        <v>117</v>
      </c>
      <c r="G5" s="426"/>
      <c r="H5" s="426"/>
      <c r="I5" s="426"/>
      <c r="J5" s="426"/>
      <c r="K5" s="426"/>
      <c r="L5" s="426"/>
      <c r="M5" s="426"/>
      <c r="N5" s="426"/>
      <c r="O5" s="426"/>
      <c r="P5" s="302"/>
      <c r="Q5" s="302"/>
      <c r="R5" s="302"/>
      <c r="S5" s="302"/>
      <c r="T5" s="302"/>
      <c r="U5" s="160"/>
      <c r="X5" s="33"/>
      <c r="Y5" s="33"/>
      <c r="Z5" s="33"/>
      <c r="AA5" s="33"/>
      <c r="AB5" s="33"/>
      <c r="AC5" s="33"/>
      <c r="AD5" s="33"/>
    </row>
    <row r="6" spans="1:31" ht="78" thickBot="1" x14ac:dyDescent="0.3">
      <c r="A6" s="352" t="s">
        <v>150</v>
      </c>
      <c r="B6" s="353" t="s">
        <v>224</v>
      </c>
      <c r="C6" s="353" t="s">
        <v>225</v>
      </c>
      <c r="D6" s="376" t="s">
        <v>251</v>
      </c>
      <c r="E6" s="16" t="s">
        <v>252</v>
      </c>
      <c r="F6" s="20" t="s">
        <v>16</v>
      </c>
      <c r="G6" s="160" t="s">
        <v>15</v>
      </c>
      <c r="H6" s="84" t="s">
        <v>244</v>
      </c>
      <c r="I6" s="84" t="s">
        <v>245</v>
      </c>
      <c r="J6" s="15" t="s">
        <v>247</v>
      </c>
      <c r="K6" s="86" t="s">
        <v>250</v>
      </c>
      <c r="L6" s="304" t="s">
        <v>246</v>
      </c>
      <c r="M6" s="84" t="s">
        <v>235</v>
      </c>
      <c r="N6" s="90" t="s">
        <v>236</v>
      </c>
      <c r="O6" s="86" t="s">
        <v>237</v>
      </c>
      <c r="P6" s="304" t="s">
        <v>238</v>
      </c>
      <c r="Q6" s="84" t="s">
        <v>239</v>
      </c>
      <c r="R6" s="15" t="s">
        <v>248</v>
      </c>
      <c r="S6" s="86" t="s">
        <v>249</v>
      </c>
      <c r="T6" s="84" t="s">
        <v>233</v>
      </c>
      <c r="U6" s="84" t="s">
        <v>234</v>
      </c>
      <c r="V6" s="90" t="s">
        <v>242</v>
      </c>
      <c r="W6" s="91" t="s">
        <v>243</v>
      </c>
      <c r="X6" s="84" t="s">
        <v>231</v>
      </c>
      <c r="Y6" s="84" t="s">
        <v>232</v>
      </c>
      <c r="Z6" s="90" t="s">
        <v>240</v>
      </c>
      <c r="AA6" s="91" t="s">
        <v>241</v>
      </c>
      <c r="AB6" s="304" t="s">
        <v>33</v>
      </c>
      <c r="AC6" s="84" t="s">
        <v>37</v>
      </c>
      <c r="AD6" s="33"/>
    </row>
    <row r="7" spans="1:31" x14ac:dyDescent="0.25">
      <c r="A7" s="2" t="s">
        <v>1</v>
      </c>
      <c r="B7" s="305">
        <v>2.9</v>
      </c>
      <c r="C7" s="305"/>
      <c r="D7" s="373">
        <v>34.799999999999997</v>
      </c>
      <c r="E7" s="377">
        <f>(D7)*1000000</f>
        <v>34800000</v>
      </c>
      <c r="F7" s="380">
        <f>((((E7)/(B7))/1000)*2.20462)</f>
        <v>26455.439999999999</v>
      </c>
      <c r="G7" s="381">
        <f>((F7)/90)*2000</f>
        <v>587898.66666666663</v>
      </c>
      <c r="H7" s="342">
        <f>(($G7)*0.0283168)/80000</f>
        <v>0.20809261205333332</v>
      </c>
      <c r="I7" s="343"/>
      <c r="J7" s="342">
        <f>(($G7)*0.0283168)/40000</f>
        <v>0.41618522410666664</v>
      </c>
      <c r="K7" s="344"/>
      <c r="L7" s="342">
        <f>(($G7)*0.0283168)/20000</f>
        <v>0.83237044821333328</v>
      </c>
      <c r="M7" s="344"/>
      <c r="N7" s="342">
        <f>(($G7)*0.0283168)/15000</f>
        <v>1.1098272642844444</v>
      </c>
      <c r="O7" s="345"/>
      <c r="P7" s="342">
        <f>(($G7)*0.0283168)/10000</f>
        <v>1.6647408964266666</v>
      </c>
      <c r="Q7" s="346"/>
      <c r="R7" s="342">
        <f>(($G7)*0.0283168)/7500</f>
        <v>2.2196545285688889</v>
      </c>
      <c r="S7" s="347"/>
      <c r="T7" s="342">
        <f>(($G7)*0.0283168)/5000</f>
        <v>3.3294817928533331</v>
      </c>
      <c r="U7" s="348"/>
      <c r="V7" s="342">
        <f>(($G7)*0.0283168)/2500</f>
        <v>6.6589635857066662</v>
      </c>
      <c r="W7" s="346"/>
      <c r="X7" s="342">
        <f>(($G7)*0.0283168)/1000</f>
        <v>16.647408964266667</v>
      </c>
      <c r="Y7" s="348"/>
      <c r="Z7" s="369">
        <f>(($G7)*0.0283168)/750</f>
        <v>22.196545285688888</v>
      </c>
      <c r="AA7" s="370"/>
      <c r="AB7" s="342">
        <f>(($G7)*0.0283168)/500</f>
        <v>33.294817928533334</v>
      </c>
      <c r="AC7" s="346"/>
      <c r="AD7" s="25"/>
    </row>
    <row r="8" spans="1:31" x14ac:dyDescent="0.25">
      <c r="A8" s="2" t="s">
        <v>2</v>
      </c>
      <c r="B8" s="305">
        <v>2.9</v>
      </c>
      <c r="C8" s="305"/>
      <c r="D8" s="374">
        <v>34.799999999999997</v>
      </c>
      <c r="E8" s="378">
        <f t="shared" ref="E8:E19" si="0">(D8)*1000000</f>
        <v>34800000</v>
      </c>
      <c r="F8" s="223">
        <f t="shared" ref="F8:F19" si="1">((((E8)/(B8))/1000)*2.20462)</f>
        <v>26455.439999999999</v>
      </c>
      <c r="G8" s="224">
        <f t="shared" ref="G8:G19" si="2">((F8)/90)*2000</f>
        <v>587898.66666666663</v>
      </c>
      <c r="H8" s="349">
        <f t="shared" ref="H8:H19" si="3">(($G8)*0.0283168)/80000</f>
        <v>0.20809261205333332</v>
      </c>
      <c r="I8" s="343"/>
      <c r="J8" s="349">
        <f t="shared" ref="J8:J19" si="4">(($G8)*0.0283168)/40000</f>
        <v>0.41618522410666664</v>
      </c>
      <c r="K8" s="344"/>
      <c r="L8" s="349">
        <f t="shared" ref="L8:L18" si="5">(($G8)*0.0283168)/20000</f>
        <v>0.83237044821333328</v>
      </c>
      <c r="M8" s="344"/>
      <c r="N8" s="349">
        <f t="shared" ref="N8:N19" si="6">(($G8)*0.0283168)/15000</f>
        <v>1.1098272642844444</v>
      </c>
      <c r="O8" s="344"/>
      <c r="P8" s="349">
        <f t="shared" ref="P8:P19" si="7">(($G8)*0.0283168)/10000</f>
        <v>1.6647408964266666</v>
      </c>
      <c r="Q8" s="343"/>
      <c r="R8" s="349">
        <f t="shared" ref="R8:R19" si="8">(($G8)*0.0283168)/7500</f>
        <v>2.2196545285688889</v>
      </c>
      <c r="S8" s="350"/>
      <c r="T8" s="349">
        <f t="shared" ref="T8:T19" si="9">(($G8)*0.0283168)/5000</f>
        <v>3.3294817928533331</v>
      </c>
      <c r="U8" s="351"/>
      <c r="V8" s="349">
        <f t="shared" ref="V8:V19" si="10">(($G8)*0.0283168)/2500</f>
        <v>6.6589635857066662</v>
      </c>
      <c r="W8" s="343"/>
      <c r="X8" s="349">
        <f t="shared" ref="X8:X19" si="11">(($G8)*0.0283168)/1000</f>
        <v>16.647408964266667</v>
      </c>
      <c r="Y8" s="351"/>
      <c r="Z8" s="371">
        <f t="shared" ref="Z8:Z19" si="12">(($G8)*0.0283168)/750</f>
        <v>22.196545285688888</v>
      </c>
      <c r="AA8" s="372"/>
      <c r="AB8" s="349">
        <f t="shared" ref="AB8:AB19" si="13">(($G8)*0.0283168)/500</f>
        <v>33.294817928533334</v>
      </c>
      <c r="AC8" s="343"/>
      <c r="AD8" s="25"/>
    </row>
    <row r="9" spans="1:31" x14ac:dyDescent="0.25">
      <c r="A9" s="2" t="s">
        <v>3</v>
      </c>
      <c r="B9" s="399">
        <v>1.4</v>
      </c>
      <c r="C9" s="305"/>
      <c r="D9" s="400">
        <v>16.8</v>
      </c>
      <c r="E9" s="378">
        <f t="shared" si="0"/>
        <v>16800000</v>
      </c>
      <c r="F9" s="223">
        <f t="shared" si="1"/>
        <v>26455.439999999999</v>
      </c>
      <c r="G9" s="224">
        <f t="shared" si="2"/>
        <v>587898.66666666663</v>
      </c>
      <c r="H9" s="401">
        <f t="shared" si="3"/>
        <v>0.20809261205333332</v>
      </c>
      <c r="I9" s="402">
        <v>17.760000000000002</v>
      </c>
      <c r="J9" s="401">
        <f t="shared" si="4"/>
        <v>0.41618522410666664</v>
      </c>
      <c r="K9" s="403">
        <v>23.65</v>
      </c>
      <c r="L9" s="401">
        <f t="shared" si="5"/>
        <v>0.83237044821333328</v>
      </c>
      <c r="M9" s="403">
        <v>33.94</v>
      </c>
      <c r="N9" s="362">
        <f t="shared" si="6"/>
        <v>1.1098272642844444</v>
      </c>
      <c r="O9" s="153">
        <v>25.79</v>
      </c>
      <c r="P9" s="401">
        <f t="shared" si="7"/>
        <v>1.6647408964266666</v>
      </c>
      <c r="Q9" s="402">
        <v>34.39</v>
      </c>
      <c r="R9" s="401">
        <f t="shared" si="8"/>
        <v>2.2196545285688889</v>
      </c>
      <c r="S9" s="404">
        <v>33.520000000000003</v>
      </c>
      <c r="T9" s="401">
        <f t="shared" si="9"/>
        <v>3.3294817928533331</v>
      </c>
      <c r="U9" s="405">
        <v>33.31</v>
      </c>
      <c r="V9" s="401">
        <f t="shared" si="10"/>
        <v>6.6589635857066662</v>
      </c>
      <c r="W9" s="402">
        <v>38.020000000000003</v>
      </c>
      <c r="X9" s="401">
        <f t="shared" si="11"/>
        <v>16.647408964266667</v>
      </c>
      <c r="Y9" s="405">
        <v>42.33</v>
      </c>
      <c r="Z9" s="406">
        <f t="shared" si="12"/>
        <v>22.196545285688888</v>
      </c>
      <c r="AA9" s="407">
        <v>34.049999999999997</v>
      </c>
      <c r="AB9" s="401">
        <f t="shared" si="13"/>
        <v>33.294817928533334</v>
      </c>
      <c r="AC9" s="402">
        <v>25.19</v>
      </c>
      <c r="AD9" s="25"/>
    </row>
    <row r="10" spans="1:31" ht="17.25" customHeight="1" x14ac:dyDescent="0.25">
      <c r="A10" s="2" t="s">
        <v>4</v>
      </c>
      <c r="B10" s="305">
        <v>2.9</v>
      </c>
      <c r="C10" s="305"/>
      <c r="D10" s="374">
        <v>34.799999999999997</v>
      </c>
      <c r="E10" s="378">
        <f t="shared" si="0"/>
        <v>34800000</v>
      </c>
      <c r="F10" s="223">
        <f t="shared" si="1"/>
        <v>26455.439999999999</v>
      </c>
      <c r="G10" s="224">
        <f t="shared" si="2"/>
        <v>587898.66666666663</v>
      </c>
      <c r="H10" s="349">
        <f t="shared" si="3"/>
        <v>0.20809261205333332</v>
      </c>
      <c r="I10" s="343"/>
      <c r="J10" s="349">
        <f t="shared" si="4"/>
        <v>0.41618522410666664</v>
      </c>
      <c r="K10" s="344"/>
      <c r="L10" s="349">
        <f t="shared" si="5"/>
        <v>0.83237044821333328</v>
      </c>
      <c r="M10" s="344"/>
      <c r="N10" s="349">
        <f t="shared" si="6"/>
        <v>1.1098272642844444</v>
      </c>
      <c r="O10" s="344"/>
      <c r="P10" s="349">
        <f t="shared" si="7"/>
        <v>1.6647408964266666</v>
      </c>
      <c r="Q10" s="343"/>
      <c r="R10" s="349">
        <f t="shared" si="8"/>
        <v>2.2196545285688889</v>
      </c>
      <c r="S10" s="350"/>
      <c r="T10" s="349">
        <f t="shared" si="9"/>
        <v>3.3294817928533331</v>
      </c>
      <c r="U10" s="351"/>
      <c r="V10" s="349">
        <f t="shared" si="10"/>
        <v>6.6589635857066662</v>
      </c>
      <c r="W10" s="343"/>
      <c r="X10" s="349">
        <f t="shared" si="11"/>
        <v>16.647408964266667</v>
      </c>
      <c r="Y10" s="351"/>
      <c r="Z10" s="371">
        <f t="shared" si="12"/>
        <v>22.196545285688888</v>
      </c>
      <c r="AA10" s="372"/>
      <c r="AB10" s="349">
        <f t="shared" si="13"/>
        <v>33.294817928533334</v>
      </c>
      <c r="AC10" s="343"/>
      <c r="AD10" s="366"/>
      <c r="AE10" s="366"/>
    </row>
    <row r="11" spans="1:31" x14ac:dyDescent="0.25">
      <c r="A11" s="2" t="s">
        <v>5</v>
      </c>
      <c r="B11" s="166">
        <v>2.9</v>
      </c>
      <c r="C11" s="305"/>
      <c r="D11" s="374">
        <v>34.799999999999997</v>
      </c>
      <c r="E11" s="378">
        <f t="shared" si="0"/>
        <v>34800000</v>
      </c>
      <c r="F11" s="223">
        <f t="shared" si="1"/>
        <v>26455.439999999999</v>
      </c>
      <c r="G11" s="224">
        <f t="shared" si="2"/>
        <v>587898.66666666663</v>
      </c>
      <c r="H11" s="349">
        <f t="shared" si="3"/>
        <v>0.20809261205333332</v>
      </c>
      <c r="I11" s="343"/>
      <c r="J11" s="349">
        <f t="shared" si="4"/>
        <v>0.41618522410666664</v>
      </c>
      <c r="K11" s="344"/>
      <c r="L11" s="349">
        <f t="shared" si="5"/>
        <v>0.83237044821333328</v>
      </c>
      <c r="M11" s="344"/>
      <c r="N11" s="349">
        <f t="shared" si="6"/>
        <v>1.1098272642844444</v>
      </c>
      <c r="O11" s="344"/>
      <c r="P11" s="349">
        <f t="shared" si="7"/>
        <v>1.6647408964266666</v>
      </c>
      <c r="Q11" s="343"/>
      <c r="R11" s="349">
        <f t="shared" si="8"/>
        <v>2.2196545285688889</v>
      </c>
      <c r="S11" s="350"/>
      <c r="T11" s="349">
        <f t="shared" si="9"/>
        <v>3.3294817928533331</v>
      </c>
      <c r="U11" s="351"/>
      <c r="V11" s="349">
        <f t="shared" si="10"/>
        <v>6.6589635857066662</v>
      </c>
      <c r="W11" s="343"/>
      <c r="X11" s="349">
        <f t="shared" si="11"/>
        <v>16.647408964266667</v>
      </c>
      <c r="Y11" s="351"/>
      <c r="Z11" s="371">
        <f t="shared" si="12"/>
        <v>22.196545285688888</v>
      </c>
      <c r="AA11" s="372"/>
      <c r="AB11" s="349">
        <f t="shared" si="13"/>
        <v>33.294817928533334</v>
      </c>
      <c r="AC11" s="343"/>
      <c r="AD11" s="366"/>
      <c r="AE11" s="366"/>
    </row>
    <row r="12" spans="1:31" ht="17.25" customHeight="1" x14ac:dyDescent="0.25">
      <c r="A12" s="2" t="s">
        <v>6</v>
      </c>
      <c r="B12" s="166">
        <v>2.9</v>
      </c>
      <c r="C12" s="305"/>
      <c r="D12" s="374">
        <v>34.799999999999997</v>
      </c>
      <c r="E12" s="378">
        <f t="shared" si="0"/>
        <v>34800000</v>
      </c>
      <c r="F12" s="223">
        <f t="shared" si="1"/>
        <v>26455.439999999999</v>
      </c>
      <c r="G12" s="224">
        <f t="shared" si="2"/>
        <v>587898.66666666663</v>
      </c>
      <c r="H12" s="349">
        <f t="shared" si="3"/>
        <v>0.20809261205333332</v>
      </c>
      <c r="I12" s="343"/>
      <c r="J12" s="349">
        <f t="shared" si="4"/>
        <v>0.41618522410666664</v>
      </c>
      <c r="K12" s="344"/>
      <c r="L12" s="349">
        <f t="shared" si="5"/>
        <v>0.83237044821333328</v>
      </c>
      <c r="M12" s="344"/>
      <c r="N12" s="349">
        <f t="shared" si="6"/>
        <v>1.1098272642844444</v>
      </c>
      <c r="O12" s="344"/>
      <c r="P12" s="349">
        <f t="shared" si="7"/>
        <v>1.6647408964266666</v>
      </c>
      <c r="Q12" s="343"/>
      <c r="R12" s="349">
        <f t="shared" si="8"/>
        <v>2.2196545285688889</v>
      </c>
      <c r="S12" s="350"/>
      <c r="T12" s="349">
        <f t="shared" si="9"/>
        <v>3.3294817928533331</v>
      </c>
      <c r="U12" s="351"/>
      <c r="V12" s="349">
        <f t="shared" si="10"/>
        <v>6.6589635857066662</v>
      </c>
      <c r="W12" s="343"/>
      <c r="X12" s="349">
        <f t="shared" si="11"/>
        <v>16.647408964266667</v>
      </c>
      <c r="Y12" s="351"/>
      <c r="Z12" s="371">
        <f t="shared" si="12"/>
        <v>22.196545285688888</v>
      </c>
      <c r="AA12" s="372"/>
      <c r="AB12" s="349">
        <f t="shared" si="13"/>
        <v>33.294817928533334</v>
      </c>
      <c r="AC12" s="343"/>
      <c r="AD12" s="366"/>
      <c r="AE12" s="366"/>
    </row>
    <row r="13" spans="1:31" x14ac:dyDescent="0.25">
      <c r="A13" s="2" t="s">
        <v>269</v>
      </c>
      <c r="B13" s="305">
        <v>2.9</v>
      </c>
      <c r="C13" s="305"/>
      <c r="D13" s="394">
        <v>34.799999999999997</v>
      </c>
      <c r="E13" s="378">
        <f t="shared" si="0"/>
        <v>34800000</v>
      </c>
      <c r="F13" s="223">
        <f t="shared" si="1"/>
        <v>26455.439999999999</v>
      </c>
      <c r="G13" s="224">
        <f t="shared" si="2"/>
        <v>587898.66666666663</v>
      </c>
      <c r="H13" s="349">
        <f t="shared" si="3"/>
        <v>0.20809261205333332</v>
      </c>
      <c r="I13" s="343"/>
      <c r="J13" s="349">
        <f t="shared" si="4"/>
        <v>0.41618522410666664</v>
      </c>
      <c r="K13" s="344"/>
      <c r="L13" s="349">
        <f t="shared" si="5"/>
        <v>0.83237044821333328</v>
      </c>
      <c r="M13" s="344"/>
      <c r="N13" s="349">
        <f t="shared" si="6"/>
        <v>1.1098272642844444</v>
      </c>
      <c r="O13" s="344"/>
      <c r="P13" s="349">
        <f t="shared" si="7"/>
        <v>1.6647408964266666</v>
      </c>
      <c r="Q13" s="343"/>
      <c r="R13" s="349">
        <f t="shared" si="8"/>
        <v>2.2196545285688889</v>
      </c>
      <c r="S13" s="350"/>
      <c r="T13" s="349">
        <f t="shared" si="9"/>
        <v>3.3294817928533331</v>
      </c>
      <c r="U13" s="351"/>
      <c r="V13" s="349">
        <f t="shared" si="10"/>
        <v>6.6589635857066662</v>
      </c>
      <c r="W13" s="343"/>
      <c r="X13" s="349">
        <f t="shared" si="11"/>
        <v>16.647408964266667</v>
      </c>
      <c r="Y13" s="351"/>
      <c r="Z13" s="371">
        <f t="shared" si="12"/>
        <v>22.196545285688888</v>
      </c>
      <c r="AA13" s="372"/>
      <c r="AB13" s="349">
        <f t="shared" si="13"/>
        <v>33.294817928533334</v>
      </c>
      <c r="AC13" s="343"/>
      <c r="AD13" s="366"/>
      <c r="AE13" s="366"/>
    </row>
    <row r="14" spans="1:31" x14ac:dyDescent="0.25">
      <c r="A14" s="2" t="s">
        <v>268</v>
      </c>
      <c r="B14" s="201">
        <v>1.5</v>
      </c>
      <c r="C14" s="305"/>
      <c r="D14" s="394">
        <v>18</v>
      </c>
      <c r="E14" s="378">
        <f t="shared" si="0"/>
        <v>18000000</v>
      </c>
      <c r="F14" s="223">
        <f t="shared" si="1"/>
        <v>26455.439999999999</v>
      </c>
      <c r="G14" s="224">
        <f t="shared" si="2"/>
        <v>587898.66666666663</v>
      </c>
      <c r="H14" s="362">
        <f t="shared" si="3"/>
        <v>0.20809261205333332</v>
      </c>
      <c r="I14" s="101">
        <v>16.239999999999998</v>
      </c>
      <c r="J14" s="362">
        <f t="shared" si="4"/>
        <v>0.41618522410666664</v>
      </c>
      <c r="K14" s="153">
        <v>19.079999999999998</v>
      </c>
      <c r="L14" s="362">
        <f t="shared" si="5"/>
        <v>0.83237044821333328</v>
      </c>
      <c r="M14" s="153">
        <v>23.01</v>
      </c>
      <c r="N14" s="362">
        <f t="shared" si="6"/>
        <v>1.1098272642844444</v>
      </c>
      <c r="O14" s="153">
        <v>23.36</v>
      </c>
      <c r="P14" s="362">
        <f t="shared" si="7"/>
        <v>1.6647408964266666</v>
      </c>
      <c r="Q14" s="101">
        <v>23.04</v>
      </c>
      <c r="R14" s="362">
        <f t="shared" si="8"/>
        <v>2.2196545285688889</v>
      </c>
      <c r="S14" s="88">
        <v>22.62</v>
      </c>
      <c r="T14" s="362">
        <f t="shared" si="9"/>
        <v>3.3294817928533331</v>
      </c>
      <c r="U14" s="89">
        <v>22.37</v>
      </c>
      <c r="V14" s="362">
        <f t="shared" si="10"/>
        <v>6.6589635857066662</v>
      </c>
      <c r="W14" s="101">
        <v>21.95</v>
      </c>
      <c r="X14" s="362">
        <f t="shared" si="11"/>
        <v>16.647408964266667</v>
      </c>
      <c r="Y14" s="89">
        <v>21.6</v>
      </c>
      <c r="Z14" s="383">
        <f t="shared" si="12"/>
        <v>22.196545285688888</v>
      </c>
      <c r="AA14" s="92">
        <v>19.399999999999999</v>
      </c>
      <c r="AB14" s="362">
        <f t="shared" si="13"/>
        <v>33.294817928533334</v>
      </c>
      <c r="AC14" s="101">
        <v>17.170000000000002</v>
      </c>
      <c r="AD14" s="366"/>
      <c r="AE14" s="366"/>
    </row>
    <row r="15" spans="1:31" x14ac:dyDescent="0.25">
      <c r="A15" s="2" t="s">
        <v>264</v>
      </c>
      <c r="B15" s="384">
        <v>2.9</v>
      </c>
      <c r="C15" s="305"/>
      <c r="D15" s="394">
        <v>34.799999999999997</v>
      </c>
      <c r="E15" s="378">
        <f t="shared" si="0"/>
        <v>34800000</v>
      </c>
      <c r="F15" s="223">
        <f t="shared" si="1"/>
        <v>26455.439999999999</v>
      </c>
      <c r="G15" s="224">
        <f t="shared" si="2"/>
        <v>587898.66666666663</v>
      </c>
      <c r="H15" s="349">
        <f t="shared" si="3"/>
        <v>0.20809261205333332</v>
      </c>
      <c r="I15" s="343"/>
      <c r="J15" s="349">
        <f t="shared" si="4"/>
        <v>0.41618522410666664</v>
      </c>
      <c r="K15" s="344"/>
      <c r="L15" s="349">
        <f t="shared" si="5"/>
        <v>0.83237044821333328</v>
      </c>
      <c r="M15" s="344"/>
      <c r="N15" s="349">
        <f t="shared" si="6"/>
        <v>1.1098272642844444</v>
      </c>
      <c r="O15" s="344"/>
      <c r="P15" s="349">
        <f t="shared" si="7"/>
        <v>1.6647408964266666</v>
      </c>
      <c r="Q15" s="343"/>
      <c r="R15" s="349">
        <f t="shared" si="8"/>
        <v>2.2196545285688889</v>
      </c>
      <c r="S15" s="350"/>
      <c r="T15" s="349">
        <f t="shared" si="9"/>
        <v>3.3294817928533331</v>
      </c>
      <c r="U15" s="351"/>
      <c r="V15" s="349">
        <f t="shared" si="10"/>
        <v>6.6589635857066662</v>
      </c>
      <c r="W15" s="343"/>
      <c r="X15" s="349">
        <f t="shared" si="11"/>
        <v>16.647408964266667</v>
      </c>
      <c r="Y15" s="351"/>
      <c r="Z15" s="371">
        <f t="shared" si="12"/>
        <v>22.196545285688888</v>
      </c>
      <c r="AA15" s="372"/>
      <c r="AB15" s="349">
        <f t="shared" si="13"/>
        <v>33.294817928533334</v>
      </c>
      <c r="AC15" s="343"/>
      <c r="AD15" s="366"/>
      <c r="AE15" s="366"/>
    </row>
    <row r="16" spans="1:31" x14ac:dyDescent="0.25">
      <c r="A16" s="2" t="s">
        <v>9</v>
      </c>
      <c r="B16" s="305">
        <v>29</v>
      </c>
      <c r="C16" s="305"/>
      <c r="D16" s="375">
        <v>348</v>
      </c>
      <c r="E16" s="378">
        <f t="shared" si="0"/>
        <v>348000000</v>
      </c>
      <c r="F16" s="223">
        <f t="shared" si="1"/>
        <v>26455.439999999999</v>
      </c>
      <c r="G16" s="224">
        <f t="shared" si="2"/>
        <v>587898.66666666663</v>
      </c>
      <c r="H16" s="349">
        <f t="shared" si="3"/>
        <v>0.20809261205333332</v>
      </c>
      <c r="I16" s="343"/>
      <c r="J16" s="349">
        <f t="shared" si="4"/>
        <v>0.41618522410666664</v>
      </c>
      <c r="K16" s="344"/>
      <c r="L16" s="349">
        <f t="shared" si="5"/>
        <v>0.83237044821333328</v>
      </c>
      <c r="M16" s="344"/>
      <c r="N16" s="349">
        <f t="shared" si="6"/>
        <v>1.1098272642844444</v>
      </c>
      <c r="O16" s="344"/>
      <c r="P16" s="349">
        <f t="shared" si="7"/>
        <v>1.6647408964266666</v>
      </c>
      <c r="Q16" s="343"/>
      <c r="R16" s="349">
        <f t="shared" si="8"/>
        <v>2.2196545285688889</v>
      </c>
      <c r="S16" s="350"/>
      <c r="T16" s="349">
        <f t="shared" si="9"/>
        <v>3.3294817928533331</v>
      </c>
      <c r="U16" s="351"/>
      <c r="V16" s="349">
        <f t="shared" si="10"/>
        <v>6.6589635857066662</v>
      </c>
      <c r="W16" s="343"/>
      <c r="X16" s="349">
        <f t="shared" si="11"/>
        <v>16.647408964266667</v>
      </c>
      <c r="Y16" s="351"/>
      <c r="Z16" s="371">
        <f t="shared" si="12"/>
        <v>22.196545285688888</v>
      </c>
      <c r="AA16" s="372"/>
      <c r="AB16" s="349">
        <f t="shared" si="13"/>
        <v>33.294817928533334</v>
      </c>
      <c r="AC16" s="343"/>
      <c r="AD16" s="366"/>
      <c r="AE16" s="366"/>
    </row>
    <row r="17" spans="1:31" x14ac:dyDescent="0.25">
      <c r="A17" s="2" t="s">
        <v>10</v>
      </c>
      <c r="B17" s="305">
        <v>29</v>
      </c>
      <c r="C17" s="305"/>
      <c r="D17" s="374">
        <v>348</v>
      </c>
      <c r="E17" s="378">
        <f t="shared" si="0"/>
        <v>348000000</v>
      </c>
      <c r="F17" s="223">
        <f t="shared" si="1"/>
        <v>26455.439999999999</v>
      </c>
      <c r="G17" s="224">
        <f t="shared" si="2"/>
        <v>587898.66666666663</v>
      </c>
      <c r="H17" s="349">
        <f t="shared" si="3"/>
        <v>0.20809261205333332</v>
      </c>
      <c r="I17" s="343"/>
      <c r="J17" s="349">
        <f t="shared" si="4"/>
        <v>0.41618522410666664</v>
      </c>
      <c r="K17" s="344"/>
      <c r="L17" s="349">
        <f t="shared" si="5"/>
        <v>0.83237044821333328</v>
      </c>
      <c r="M17" s="344"/>
      <c r="N17" s="349">
        <f t="shared" si="6"/>
        <v>1.1098272642844444</v>
      </c>
      <c r="O17" s="344"/>
      <c r="P17" s="349">
        <f t="shared" si="7"/>
        <v>1.6647408964266666</v>
      </c>
      <c r="Q17" s="343"/>
      <c r="R17" s="349">
        <f t="shared" si="8"/>
        <v>2.2196545285688889</v>
      </c>
      <c r="S17" s="350"/>
      <c r="T17" s="349">
        <f t="shared" si="9"/>
        <v>3.3294817928533331</v>
      </c>
      <c r="U17" s="351"/>
      <c r="V17" s="349">
        <f t="shared" si="10"/>
        <v>6.6589635857066662</v>
      </c>
      <c r="W17" s="343"/>
      <c r="X17" s="349">
        <f t="shared" si="11"/>
        <v>16.647408964266667</v>
      </c>
      <c r="Y17" s="351"/>
      <c r="Z17" s="371">
        <f t="shared" si="12"/>
        <v>22.196545285688888</v>
      </c>
      <c r="AA17" s="372"/>
      <c r="AB17" s="349">
        <f t="shared" si="13"/>
        <v>33.294817928533334</v>
      </c>
      <c r="AC17" s="343"/>
      <c r="AD17" s="367"/>
      <c r="AE17" s="368"/>
    </row>
    <row r="18" spans="1:31" x14ac:dyDescent="0.25">
      <c r="A18" s="2" t="s">
        <v>11</v>
      </c>
      <c r="B18" s="305">
        <v>29</v>
      </c>
      <c r="C18" s="305"/>
      <c r="D18" s="374">
        <v>348</v>
      </c>
      <c r="E18" s="378">
        <f t="shared" si="0"/>
        <v>348000000</v>
      </c>
      <c r="F18" s="223">
        <f t="shared" si="1"/>
        <v>26455.439999999999</v>
      </c>
      <c r="G18" s="224">
        <f t="shared" si="2"/>
        <v>587898.66666666663</v>
      </c>
      <c r="H18" s="349">
        <f t="shared" si="3"/>
        <v>0.20809261205333332</v>
      </c>
      <c r="I18" s="343"/>
      <c r="J18" s="349">
        <f t="shared" si="4"/>
        <v>0.41618522410666664</v>
      </c>
      <c r="K18" s="344"/>
      <c r="L18" s="349">
        <f t="shared" si="5"/>
        <v>0.83237044821333328</v>
      </c>
      <c r="M18" s="344"/>
      <c r="N18" s="349">
        <f t="shared" si="6"/>
        <v>1.1098272642844444</v>
      </c>
      <c r="O18" s="344"/>
      <c r="P18" s="349">
        <f t="shared" si="7"/>
        <v>1.6647408964266666</v>
      </c>
      <c r="Q18" s="343"/>
      <c r="R18" s="349">
        <f t="shared" si="8"/>
        <v>2.2196545285688889</v>
      </c>
      <c r="S18" s="350"/>
      <c r="T18" s="349">
        <f t="shared" si="9"/>
        <v>3.3294817928533331</v>
      </c>
      <c r="U18" s="351"/>
      <c r="V18" s="349">
        <f t="shared" si="10"/>
        <v>6.6589635857066662</v>
      </c>
      <c r="W18" s="343"/>
      <c r="X18" s="349">
        <f t="shared" si="11"/>
        <v>16.647408964266667</v>
      </c>
      <c r="Y18" s="351"/>
      <c r="Z18" s="371">
        <f t="shared" si="12"/>
        <v>22.196545285688888</v>
      </c>
      <c r="AA18" s="372"/>
      <c r="AB18" s="349">
        <f t="shared" si="13"/>
        <v>33.294817928533334</v>
      </c>
      <c r="AC18" s="343"/>
      <c r="AD18" s="367"/>
      <c r="AE18" s="368"/>
    </row>
    <row r="19" spans="1:31" ht="15.75" thickBot="1" x14ac:dyDescent="0.3">
      <c r="A19" s="3" t="s">
        <v>13</v>
      </c>
      <c r="B19" s="243">
        <v>12</v>
      </c>
      <c r="C19" s="74"/>
      <c r="D19" s="393">
        <v>144</v>
      </c>
      <c r="E19" s="379">
        <f t="shared" si="0"/>
        <v>144000000</v>
      </c>
      <c r="F19" s="382">
        <f t="shared" si="1"/>
        <v>26455.439999999999</v>
      </c>
      <c r="G19" s="229">
        <f t="shared" si="2"/>
        <v>587898.66666666663</v>
      </c>
      <c r="H19" s="386">
        <f t="shared" si="3"/>
        <v>0.20809261205333332</v>
      </c>
      <c r="I19" s="385">
        <v>8.9090000000000007</v>
      </c>
      <c r="J19" s="386">
        <f t="shared" si="4"/>
        <v>0.41618522410666664</v>
      </c>
      <c r="K19" s="387">
        <v>12.98</v>
      </c>
      <c r="L19" s="386">
        <f>(($G19)*0.0283168)/20000</f>
        <v>0.83237044821333328</v>
      </c>
      <c r="M19" s="387">
        <v>19.61</v>
      </c>
      <c r="N19" s="386">
        <f t="shared" si="6"/>
        <v>1.1098272642844444</v>
      </c>
      <c r="O19" s="387">
        <v>18.72</v>
      </c>
      <c r="P19" s="386">
        <f t="shared" si="7"/>
        <v>1.6647408964266666</v>
      </c>
      <c r="Q19" s="385">
        <v>16.78</v>
      </c>
      <c r="R19" s="386">
        <f t="shared" si="8"/>
        <v>2.2196545285688889</v>
      </c>
      <c r="S19" s="389">
        <v>13.58</v>
      </c>
      <c r="T19" s="386">
        <f t="shared" si="9"/>
        <v>3.3294817928533331</v>
      </c>
      <c r="U19" s="390">
        <v>13.28</v>
      </c>
      <c r="V19" s="386">
        <f t="shared" si="10"/>
        <v>6.6589635857066662</v>
      </c>
      <c r="W19" s="385">
        <v>20.13</v>
      </c>
      <c r="X19" s="386">
        <f t="shared" si="11"/>
        <v>16.647408964266667</v>
      </c>
      <c r="Y19" s="390">
        <v>23.35</v>
      </c>
      <c r="Z19" s="391">
        <f t="shared" si="12"/>
        <v>22.196545285688888</v>
      </c>
      <c r="AA19" s="392">
        <v>19.54</v>
      </c>
      <c r="AB19" s="386">
        <f t="shared" si="13"/>
        <v>33.294817928533334</v>
      </c>
      <c r="AC19" s="385">
        <v>15.46</v>
      </c>
      <c r="AD19" s="25"/>
    </row>
    <row r="21" spans="1:31" x14ac:dyDescent="0.25">
      <c r="S21" t="s">
        <v>58</v>
      </c>
    </row>
    <row r="22" spans="1:31" ht="18.75" x14ac:dyDescent="0.3">
      <c r="A22" s="453" t="s">
        <v>228</v>
      </c>
      <c r="B22" s="453"/>
      <c r="C22" s="453"/>
      <c r="D22" s="453"/>
      <c r="E22" s="453"/>
      <c r="F22" s="453"/>
      <c r="G22" s="453"/>
      <c r="H22" s="453"/>
      <c r="S22" t="s">
        <v>55</v>
      </c>
    </row>
    <row r="23" spans="1:31" ht="15.75" thickBot="1" x14ac:dyDescent="0.3"/>
    <row r="24" spans="1:31" ht="18" thickBot="1" x14ac:dyDescent="0.3">
      <c r="A24" s="81" t="s">
        <v>32</v>
      </c>
      <c r="B24" s="408" t="s">
        <v>70</v>
      </c>
      <c r="C24" s="452"/>
      <c r="D24" s="454" t="s">
        <v>71</v>
      </c>
      <c r="E24" s="452"/>
      <c r="F24" s="408" t="s">
        <v>72</v>
      </c>
      <c r="G24" s="409"/>
      <c r="H24" s="408" t="s">
        <v>73</v>
      </c>
      <c r="I24" s="409"/>
      <c r="J24" s="408" t="s">
        <v>74</v>
      </c>
      <c r="K24" s="409"/>
      <c r="L24" s="408" t="s">
        <v>75</v>
      </c>
      <c r="M24" s="409"/>
      <c r="N24" s="408" t="s">
        <v>76</v>
      </c>
      <c r="O24" s="409"/>
      <c r="P24" s="408" t="s">
        <v>77</v>
      </c>
      <c r="Q24" s="452"/>
      <c r="R24" s="408" t="s">
        <v>78</v>
      </c>
      <c r="S24" s="409"/>
      <c r="T24" s="450" t="s">
        <v>258</v>
      </c>
      <c r="U24" s="451"/>
      <c r="V24" s="450" t="s">
        <v>230</v>
      </c>
      <c r="W24" s="451"/>
      <c r="X24" s="468" t="s">
        <v>121</v>
      </c>
      <c r="Y24" s="469"/>
      <c r="Z24" s="65"/>
      <c r="AA24" s="65"/>
      <c r="AB24" s="65"/>
      <c r="AC24" s="65"/>
    </row>
    <row r="25" spans="1:31" ht="27" thickBot="1" x14ac:dyDescent="0.3">
      <c r="A25" s="80" t="s">
        <v>25</v>
      </c>
      <c r="B25" s="127" t="s">
        <v>18</v>
      </c>
      <c r="C25" s="104" t="s">
        <v>19</v>
      </c>
      <c r="D25" s="126" t="s">
        <v>18</v>
      </c>
      <c r="E25" s="104" t="s">
        <v>19</v>
      </c>
      <c r="F25" s="103" t="s">
        <v>18</v>
      </c>
      <c r="G25" s="104" t="s">
        <v>19</v>
      </c>
      <c r="H25" s="103" t="s">
        <v>18</v>
      </c>
      <c r="I25" s="104" t="s">
        <v>19</v>
      </c>
      <c r="J25" s="103" t="s">
        <v>18</v>
      </c>
      <c r="K25" s="104" t="s">
        <v>19</v>
      </c>
      <c r="L25" s="103" t="s">
        <v>18</v>
      </c>
      <c r="M25" s="104" t="s">
        <v>19</v>
      </c>
      <c r="N25" s="103" t="s">
        <v>18</v>
      </c>
      <c r="O25" s="104" t="s">
        <v>19</v>
      </c>
      <c r="P25" s="105" t="s">
        <v>18</v>
      </c>
      <c r="Q25" s="104" t="s">
        <v>19</v>
      </c>
      <c r="R25" s="126" t="s">
        <v>18</v>
      </c>
      <c r="S25" s="104" t="s">
        <v>19</v>
      </c>
      <c r="T25" s="105" t="s">
        <v>18</v>
      </c>
      <c r="U25" s="125" t="s">
        <v>19</v>
      </c>
      <c r="V25" s="105" t="s">
        <v>18</v>
      </c>
      <c r="W25" s="125" t="s">
        <v>19</v>
      </c>
      <c r="X25" s="105" t="s">
        <v>18</v>
      </c>
      <c r="Y25" s="125" t="s">
        <v>19</v>
      </c>
      <c r="Z25" s="78"/>
      <c r="AA25" s="78"/>
      <c r="AB25" s="78"/>
      <c r="AC25" s="78"/>
    </row>
    <row r="26" spans="1:31" x14ac:dyDescent="0.25">
      <c r="A26" s="76">
        <v>80000</v>
      </c>
      <c r="B26" s="358">
        <f>($A26)/('Model Output'!$AE$22)</f>
        <v>69199957931.756546</v>
      </c>
      <c r="C26" s="360">
        <f>('Model Output'!$AH$22)</f>
        <v>6.8999999999999997E-5</v>
      </c>
      <c r="D26" s="363">
        <f>($A26)/('Model Output'!$AE$23)</f>
        <v>9226661057.5675392</v>
      </c>
      <c r="E26" s="358">
        <f>('Model Output'!$AH$23)</f>
        <v>4.3899999999999998E-3</v>
      </c>
      <c r="F26" s="357">
        <f>($A26)/('Model Output'!$AE$24)</f>
        <v>6919995793.1756554</v>
      </c>
      <c r="G26" s="358">
        <f>('Model Output'!$AH$24)</f>
        <v>6.6E-4</v>
      </c>
      <c r="H26" s="357">
        <f>($A26)/('Model Output'!$AE$25)</f>
        <v>691999579317.56543</v>
      </c>
      <c r="I26" s="358">
        <f>('Model Output'!$AH$25)</f>
        <v>9.1200000000000005E-4</v>
      </c>
      <c r="J26" s="357">
        <f>($A26)/('Model Output'!$AE$26)</f>
        <v>691999579317.56543</v>
      </c>
      <c r="K26" s="358">
        <f>('Model Output'!$AH$26)</f>
        <v>1.95E-6</v>
      </c>
      <c r="L26" s="357"/>
      <c r="M26" s="358">
        <f>('Model Output'!$AH$27)</f>
        <v>2.12E-4</v>
      </c>
      <c r="N26" s="357">
        <f>($A26)/('Model Output'!$AE$31)</f>
        <v>3805997686.2466087</v>
      </c>
      <c r="O26" s="358">
        <f>('Model Output'!$AH$31)</f>
        <v>1.81E-3</v>
      </c>
      <c r="P26" s="357">
        <f>($A26)/('Model Output'!$AE$32)</f>
        <v>6112662950638.4932</v>
      </c>
      <c r="Q26" s="360">
        <f>('Model Output'!$AH$32)</f>
        <v>3.6600000000000001E-3</v>
      </c>
      <c r="R26" s="363">
        <f>($A26)/('Model Output'!$AE$33)</f>
        <v>6112662950638.4932</v>
      </c>
      <c r="S26" s="358">
        <f>('Model Output'!$AH$33)</f>
        <v>8.8099999999999995E-4</v>
      </c>
      <c r="T26" s="388">
        <f>($A26)/($H19)</f>
        <v>384444.2107319808</v>
      </c>
      <c r="U26" s="132">
        <f>I19</f>
        <v>8.9090000000000007</v>
      </c>
      <c r="V26" s="388">
        <f>($A26)/($H14)</f>
        <v>384444.2107319808</v>
      </c>
      <c r="W26" s="132">
        <f>$I14</f>
        <v>16.239999999999998</v>
      </c>
      <c r="X26" s="357">
        <f>($A26)/('Model Output'!$AE$30)</f>
        <v>1449903880.4748991</v>
      </c>
      <c r="Y26" s="360">
        <f>('Model Output'!$AH$30)</f>
        <v>0</v>
      </c>
      <c r="Z26" s="78"/>
      <c r="AA26" s="78"/>
      <c r="AB26" s="78"/>
      <c r="AC26" s="78"/>
    </row>
    <row r="27" spans="1:31" x14ac:dyDescent="0.25">
      <c r="A27" s="76">
        <v>40000</v>
      </c>
      <c r="B27" s="358">
        <f>($A27)/('Model Output'!$AD$22)</f>
        <v>1729998948.2939138</v>
      </c>
      <c r="C27" s="360">
        <f>('Model Output'!$AF$22)</f>
        <v>1.2999999999999999E-4</v>
      </c>
      <c r="D27" s="364">
        <f>($A27)/('Model Output'!$AD$23)</f>
        <v>230666526.43918851</v>
      </c>
      <c r="E27" s="358">
        <f>('Model Output'!$AF$23)</f>
        <v>8.0119999999999997E-2</v>
      </c>
      <c r="F27" s="358">
        <f>($A27)/('Model Output'!$AD$24)</f>
        <v>172999894.82939136</v>
      </c>
      <c r="G27" s="358">
        <f>('Model Output'!$AF$24)</f>
        <v>1.7999999999999999E-2</v>
      </c>
      <c r="H27" s="358">
        <f>($A27)/('Model Output'!$AD$25)</f>
        <v>17299989482.939137</v>
      </c>
      <c r="I27" s="358">
        <f>('Model Output'!$AF$25)</f>
        <v>5.6800000000000004E-4</v>
      </c>
      <c r="J27" s="358">
        <f>($A27)/('Model Output'!$AD$26)</f>
        <v>17299989482.939137</v>
      </c>
      <c r="K27" s="358">
        <f>('Model Output'!$AF$26)</f>
        <v>1.59E-6</v>
      </c>
      <c r="L27" s="358">
        <f>($A27)/('Model Output'!$AD$27)</f>
        <v>10874279.103561742</v>
      </c>
      <c r="M27" s="358">
        <f>('Model Output'!$AF$27)</f>
        <v>0.11</v>
      </c>
      <c r="N27" s="358">
        <f>($A27)/('Model Output'!$AD$31)</f>
        <v>95149942.156165227</v>
      </c>
      <c r="O27" s="358">
        <f>('Model Output'!$AF$31)</f>
        <v>2.7799999999999998E-2</v>
      </c>
      <c r="P27" s="358">
        <f>($A27)/('Model Output'!$AD$32)</f>
        <v>152816573765.96234</v>
      </c>
      <c r="Q27" s="360">
        <f>('Model Output'!$AF$32)</f>
        <v>2.82E-3</v>
      </c>
      <c r="R27" s="364">
        <f>($A27)/('Model Output'!$AD$33)</f>
        <v>152816573765.96234</v>
      </c>
      <c r="S27" s="358">
        <f>('Model Output'!$AF$33)</f>
        <v>6.8199999999999999E-4</v>
      </c>
      <c r="T27" s="355">
        <f>($A27)/(J19)</f>
        <v>96111.0526829952</v>
      </c>
      <c r="U27" s="132">
        <f>(K19)</f>
        <v>12.98</v>
      </c>
      <c r="V27" s="355">
        <f>($A27)/($J14)</f>
        <v>96111.0526829952</v>
      </c>
      <c r="W27" s="132">
        <f>($K14)</f>
        <v>19.079999999999998</v>
      </c>
      <c r="X27" s="358">
        <f>($A27)/('Model Output'!$AD$30)</f>
        <v>36247597.011872478</v>
      </c>
      <c r="Y27" s="360">
        <f>('Model Output'!$AF$30)</f>
        <v>0.70269999999999999</v>
      </c>
      <c r="Z27" s="78"/>
      <c r="AA27" s="78"/>
      <c r="AB27" s="78"/>
      <c r="AC27" s="78"/>
    </row>
    <row r="28" spans="1:31" x14ac:dyDescent="0.25">
      <c r="A28" s="76">
        <v>20000</v>
      </c>
      <c r="B28" s="358">
        <f>($A28)/($H$8)</f>
        <v>96111.0526829952</v>
      </c>
      <c r="C28" s="360">
        <f>($I$8)</f>
        <v>0</v>
      </c>
      <c r="D28" s="364">
        <f>($A28)/($H$9)</f>
        <v>96111.0526829952</v>
      </c>
      <c r="E28" s="358">
        <f>($I$9)</f>
        <v>17.760000000000002</v>
      </c>
      <c r="F28" s="358">
        <f>($A28)/($H$10)</f>
        <v>96111.0526829952</v>
      </c>
      <c r="G28" s="358">
        <f>($I$10)</f>
        <v>0</v>
      </c>
      <c r="H28" s="358">
        <f>($A28)/($H$11)</f>
        <v>96111.0526829952</v>
      </c>
      <c r="I28" s="358">
        <f>($I$11)</f>
        <v>0</v>
      </c>
      <c r="J28" s="358">
        <f>($A28)/($H$12)</f>
        <v>96111.0526829952</v>
      </c>
      <c r="K28" s="358">
        <f>($I$12)</f>
        <v>0</v>
      </c>
      <c r="L28" s="358">
        <f>($A28)/($H$13)</f>
        <v>96111.0526829952</v>
      </c>
      <c r="M28" s="358">
        <f>($I$13)</f>
        <v>0</v>
      </c>
      <c r="N28" s="358">
        <f>($A28)/($H$16)</f>
        <v>96111.0526829952</v>
      </c>
      <c r="O28" s="358">
        <f>($I$16)</f>
        <v>0</v>
      </c>
      <c r="P28" s="358">
        <f>($A28)/($H$17)</f>
        <v>96111.0526829952</v>
      </c>
      <c r="Q28" s="360">
        <f>($I$17)</f>
        <v>0</v>
      </c>
      <c r="R28" s="364">
        <f>($A28)/($H$18)</f>
        <v>96111.0526829952</v>
      </c>
      <c r="S28" s="358">
        <f>($I$18)</f>
        <v>0</v>
      </c>
      <c r="T28" s="355">
        <f>($A28)/(L19)</f>
        <v>24027.7631707488</v>
      </c>
      <c r="U28" s="132">
        <f>(M19)</f>
        <v>19.61</v>
      </c>
      <c r="V28" s="355">
        <f>($A28)/($L14)</f>
        <v>24027.7631707488</v>
      </c>
      <c r="W28" s="132">
        <f>($M14)</f>
        <v>23.01</v>
      </c>
      <c r="X28" s="358">
        <f>($A28)/($H$15)</f>
        <v>96111.0526829952</v>
      </c>
      <c r="Y28" s="360">
        <f>($I$15)</f>
        <v>0</v>
      </c>
      <c r="Z28" s="78"/>
      <c r="AA28" s="78"/>
      <c r="AB28" s="78"/>
      <c r="AC28" s="78"/>
    </row>
    <row r="29" spans="1:31" x14ac:dyDescent="0.25">
      <c r="A29" s="76">
        <v>15000</v>
      </c>
      <c r="B29" s="358">
        <f>($A29)/($J$8)</f>
        <v>36041.644756123198</v>
      </c>
      <c r="C29" s="360">
        <f>$K$8</f>
        <v>0</v>
      </c>
      <c r="D29" s="364">
        <f>($A29)/($J$9)</f>
        <v>36041.644756123198</v>
      </c>
      <c r="E29" s="358">
        <f>$K$9</f>
        <v>23.65</v>
      </c>
      <c r="F29" s="358">
        <f>($A29)/($J$10)</f>
        <v>36041.644756123198</v>
      </c>
      <c r="G29" s="358">
        <f>$K$10</f>
        <v>0</v>
      </c>
      <c r="H29" s="358">
        <f>($A29)/($J$11)</f>
        <v>36041.644756123198</v>
      </c>
      <c r="I29" s="358">
        <f>$K$11</f>
        <v>0</v>
      </c>
      <c r="J29" s="358">
        <f>($A29)/($J$12)</f>
        <v>36041.644756123198</v>
      </c>
      <c r="K29" s="358">
        <f>$K$12</f>
        <v>0</v>
      </c>
      <c r="L29" s="358">
        <f>($A29)/($J$13)</f>
        <v>36041.644756123198</v>
      </c>
      <c r="M29" s="358">
        <f>$K$13</f>
        <v>0</v>
      </c>
      <c r="N29" s="358">
        <f>($A29)/($J$16)</f>
        <v>36041.644756123198</v>
      </c>
      <c r="O29" s="358">
        <f>$K$16</f>
        <v>0</v>
      </c>
      <c r="P29" s="358">
        <f>($A29)/($J$17)</f>
        <v>36041.644756123198</v>
      </c>
      <c r="Q29" s="360">
        <f>$K$17</f>
        <v>0</v>
      </c>
      <c r="R29" s="364">
        <f>($A29)/($J$18)</f>
        <v>36041.644756123198</v>
      </c>
      <c r="S29" s="358">
        <f>$K$18</f>
        <v>0</v>
      </c>
      <c r="T29" s="355">
        <f>($A29)/(N19)</f>
        <v>13515.616783546198</v>
      </c>
      <c r="U29" s="132">
        <f>O19</f>
        <v>18.72</v>
      </c>
      <c r="V29" s="355">
        <f>($A29)/($N14)</f>
        <v>13515.616783546198</v>
      </c>
      <c r="W29" s="132">
        <f>$O14</f>
        <v>23.36</v>
      </c>
      <c r="X29" s="358">
        <f>($A29)/($J$15)</f>
        <v>36041.644756123198</v>
      </c>
      <c r="Y29" s="360">
        <f>$K$15</f>
        <v>0</v>
      </c>
      <c r="Z29" s="78"/>
      <c r="AA29" s="78"/>
      <c r="AB29" s="78"/>
      <c r="AC29" s="78"/>
    </row>
    <row r="30" spans="1:31" x14ac:dyDescent="0.25">
      <c r="A30" s="76">
        <v>10000</v>
      </c>
      <c r="B30" s="358">
        <f>($A30)/($L$8)</f>
        <v>12013.8815853744</v>
      </c>
      <c r="C30" s="360">
        <f>$M$8</f>
        <v>0</v>
      </c>
      <c r="D30" s="364">
        <f>($A30)/($L$9)</f>
        <v>12013.8815853744</v>
      </c>
      <c r="E30" s="358">
        <f>$M$9</f>
        <v>33.94</v>
      </c>
      <c r="F30" s="358">
        <f>($A30)/($L$10)</f>
        <v>12013.8815853744</v>
      </c>
      <c r="G30" s="358">
        <f>$M$10</f>
        <v>0</v>
      </c>
      <c r="H30" s="358">
        <f>($A30)/($L$11)</f>
        <v>12013.8815853744</v>
      </c>
      <c r="I30" s="358">
        <f>$M$11</f>
        <v>0</v>
      </c>
      <c r="J30" s="358">
        <f>($A30)/($L$12)</f>
        <v>12013.8815853744</v>
      </c>
      <c r="K30" s="358">
        <f>$M$12</f>
        <v>0</v>
      </c>
      <c r="L30" s="358">
        <f>($A30)/($L$13)</f>
        <v>12013.8815853744</v>
      </c>
      <c r="M30" s="358">
        <f>$M$13</f>
        <v>0</v>
      </c>
      <c r="N30" s="358">
        <f>($A30)/($L$16)</f>
        <v>12013.8815853744</v>
      </c>
      <c r="O30" s="358">
        <f>$M$16</f>
        <v>0</v>
      </c>
      <c r="P30" s="358">
        <f>($A30)/($L$17)</f>
        <v>12013.8815853744</v>
      </c>
      <c r="Q30" s="360">
        <f>$M$17</f>
        <v>0</v>
      </c>
      <c r="R30" s="364">
        <f>($A30)/($L$18)</f>
        <v>12013.8815853744</v>
      </c>
      <c r="S30" s="358">
        <f>$M$18</f>
        <v>0</v>
      </c>
      <c r="T30" s="355">
        <f>($A30)/(P19)</f>
        <v>6006.9407926872</v>
      </c>
      <c r="U30" s="132">
        <f>Q19</f>
        <v>16.78</v>
      </c>
      <c r="V30" s="355">
        <f>($A30)/($P14)</f>
        <v>6006.9407926872</v>
      </c>
      <c r="W30" s="132">
        <f>$Q14</f>
        <v>23.04</v>
      </c>
      <c r="X30" s="358">
        <f>($A30)/($L$15)</f>
        <v>12013.8815853744</v>
      </c>
      <c r="Y30" s="360">
        <f>$M$15</f>
        <v>0</v>
      </c>
      <c r="Z30" s="78"/>
      <c r="AA30" s="78"/>
      <c r="AB30" s="78"/>
      <c r="AC30" s="78"/>
    </row>
    <row r="31" spans="1:31" x14ac:dyDescent="0.25">
      <c r="A31" s="76">
        <v>7500</v>
      </c>
      <c r="B31" s="358">
        <f>($A31)/($N$8)</f>
        <v>6757.8083917730992</v>
      </c>
      <c r="C31" s="360">
        <f>$O$8</f>
        <v>0</v>
      </c>
      <c r="D31" s="364">
        <f>($A31)/($N$9)</f>
        <v>6757.8083917730992</v>
      </c>
      <c r="E31" s="358">
        <f>$O$9</f>
        <v>25.79</v>
      </c>
      <c r="F31" s="358">
        <f>($A31)/($N$10)</f>
        <v>6757.8083917730992</v>
      </c>
      <c r="G31" s="358">
        <f>$O$10</f>
        <v>0</v>
      </c>
      <c r="H31" s="358">
        <f>($A31)/($N$11)</f>
        <v>6757.8083917730992</v>
      </c>
      <c r="I31" s="358">
        <f>$O$11</f>
        <v>0</v>
      </c>
      <c r="J31" s="358">
        <f>($A31)/($N$12)</f>
        <v>6757.8083917730992</v>
      </c>
      <c r="K31" s="358">
        <f>$O$12</f>
        <v>0</v>
      </c>
      <c r="L31" s="358">
        <f>($A31)/($N$13)</f>
        <v>6757.8083917730992</v>
      </c>
      <c r="M31" s="358">
        <f>$O$13</f>
        <v>0</v>
      </c>
      <c r="N31" s="358">
        <f>($A31)/($N$16)</f>
        <v>6757.8083917730992</v>
      </c>
      <c r="O31" s="358">
        <f>$O$16</f>
        <v>0</v>
      </c>
      <c r="P31" s="358">
        <f>($A31)/($N$17)</f>
        <v>6757.8083917730992</v>
      </c>
      <c r="Q31" s="360">
        <f>$O$17</f>
        <v>0</v>
      </c>
      <c r="R31" s="364">
        <f>($A31)/($N$18)</f>
        <v>6757.8083917730992</v>
      </c>
      <c r="S31" s="358">
        <f>$O$18</f>
        <v>0</v>
      </c>
      <c r="T31" s="355">
        <f>($A31)/(R19)</f>
        <v>3378.9041958865496</v>
      </c>
      <c r="U31" s="132">
        <f>S19</f>
        <v>13.58</v>
      </c>
      <c r="V31" s="355">
        <f>($A31)/($R14)</f>
        <v>3378.9041958865496</v>
      </c>
      <c r="W31" s="132">
        <f>$S14</f>
        <v>22.62</v>
      </c>
      <c r="X31" s="358">
        <f>($A31)/($N$15)</f>
        <v>6757.8083917730992</v>
      </c>
      <c r="Y31" s="360">
        <f>$O$15</f>
        <v>0</v>
      </c>
      <c r="Z31" s="78"/>
      <c r="AA31" s="78"/>
      <c r="AB31" s="78"/>
      <c r="AC31" s="78"/>
    </row>
    <row r="32" spans="1:31" x14ac:dyDescent="0.25">
      <c r="A32" s="76">
        <v>5000</v>
      </c>
      <c r="B32" s="358">
        <f>($A32)/($P$8)</f>
        <v>3003.4703963436</v>
      </c>
      <c r="C32" s="360">
        <f>($Q$8)</f>
        <v>0</v>
      </c>
      <c r="D32" s="364">
        <f>($A32)/($P$9)</f>
        <v>3003.4703963436</v>
      </c>
      <c r="E32" s="358">
        <f>($Q$9)</f>
        <v>34.39</v>
      </c>
      <c r="F32" s="358">
        <f>($A32)/($P$10)</f>
        <v>3003.4703963436</v>
      </c>
      <c r="G32" s="358">
        <f>($Q$10)</f>
        <v>0</v>
      </c>
      <c r="H32" s="358">
        <f>($A32)/($P$11)</f>
        <v>3003.4703963436</v>
      </c>
      <c r="I32" s="358">
        <f>($Q$11)</f>
        <v>0</v>
      </c>
      <c r="J32" s="358">
        <f>($A32)/($P$12)</f>
        <v>3003.4703963436</v>
      </c>
      <c r="K32" s="358">
        <f>($Q$12)</f>
        <v>0</v>
      </c>
      <c r="L32" s="358">
        <f>($A32)/($P$13)</f>
        <v>3003.4703963436</v>
      </c>
      <c r="M32" s="358">
        <f>($Q$13)</f>
        <v>0</v>
      </c>
      <c r="N32" s="358">
        <f>($A32)/($P$16)</f>
        <v>3003.4703963436</v>
      </c>
      <c r="O32" s="358">
        <f>($Q$16)</f>
        <v>0</v>
      </c>
      <c r="P32" s="358">
        <f>($A32)/($P$17)</f>
        <v>3003.4703963436</v>
      </c>
      <c r="Q32" s="360">
        <f>($Q$17)</f>
        <v>0</v>
      </c>
      <c r="R32" s="364">
        <f>($A32)/($P$18)</f>
        <v>3003.4703963436</v>
      </c>
      <c r="S32" s="358">
        <f>($Q$18)</f>
        <v>0</v>
      </c>
      <c r="T32" s="355">
        <f>($A32)/(T19)</f>
        <v>1501.7351981718</v>
      </c>
      <c r="U32" s="132">
        <f>(U19)</f>
        <v>13.28</v>
      </c>
      <c r="V32" s="355">
        <f>($A32)/($T14)</f>
        <v>1501.7351981718</v>
      </c>
      <c r="W32" s="132">
        <f>($U14)</f>
        <v>22.37</v>
      </c>
      <c r="X32" s="358">
        <f>($A32)/($P$15)</f>
        <v>3003.4703963436</v>
      </c>
      <c r="Y32" s="360">
        <f>($Q$15)</f>
        <v>0</v>
      </c>
      <c r="Z32" s="78"/>
      <c r="AA32" s="78"/>
      <c r="AB32" s="78"/>
      <c r="AC32" s="78"/>
    </row>
    <row r="33" spans="1:29" x14ac:dyDescent="0.25">
      <c r="A33" s="76">
        <v>2500</v>
      </c>
      <c r="B33" s="358">
        <f>($A33)/($R$8)</f>
        <v>1126.3013986288499</v>
      </c>
      <c r="C33" s="360">
        <f>($S$8)</f>
        <v>0</v>
      </c>
      <c r="D33" s="364">
        <f>($A33)/($R$9)</f>
        <v>1126.3013986288499</v>
      </c>
      <c r="E33" s="358">
        <f>($S$9)</f>
        <v>33.520000000000003</v>
      </c>
      <c r="F33" s="358">
        <f>($A33)/($R$10)</f>
        <v>1126.3013986288499</v>
      </c>
      <c r="G33" s="358">
        <f>($S$10)</f>
        <v>0</v>
      </c>
      <c r="H33" s="358">
        <f>($A33)/($R$11)</f>
        <v>1126.3013986288499</v>
      </c>
      <c r="I33" s="358">
        <f>($S$11)</f>
        <v>0</v>
      </c>
      <c r="J33" s="358">
        <f>($A33)/($R$12)</f>
        <v>1126.3013986288499</v>
      </c>
      <c r="K33" s="358">
        <f>($S$12)</f>
        <v>0</v>
      </c>
      <c r="L33" s="358">
        <f>($A33)/($R$13)</f>
        <v>1126.3013986288499</v>
      </c>
      <c r="M33" s="358">
        <f>($S$13)</f>
        <v>0</v>
      </c>
      <c r="N33" s="358">
        <f>($A33)/($R$16)</f>
        <v>1126.3013986288499</v>
      </c>
      <c r="O33" s="358">
        <f>($S$16)</f>
        <v>0</v>
      </c>
      <c r="P33" s="358">
        <f>($A33)/($R$17)</f>
        <v>1126.3013986288499</v>
      </c>
      <c r="Q33" s="360">
        <f>($S$17)</f>
        <v>0</v>
      </c>
      <c r="R33" s="364">
        <f>($A33)/($R$18)</f>
        <v>1126.3013986288499</v>
      </c>
      <c r="S33" s="358">
        <f>($S$18)</f>
        <v>0</v>
      </c>
      <c r="T33" s="355">
        <f>($A33)/(V19)</f>
        <v>375.43379954295</v>
      </c>
      <c r="U33" s="132">
        <f>(W19)</f>
        <v>20.13</v>
      </c>
      <c r="V33" s="355">
        <f>($A33)/($V14)</f>
        <v>375.43379954295</v>
      </c>
      <c r="W33" s="132">
        <f>($W14)</f>
        <v>21.95</v>
      </c>
      <c r="X33" s="358">
        <f>($A33)/($R$15)</f>
        <v>1126.3013986288499</v>
      </c>
      <c r="Y33" s="360">
        <f>($S$15)</f>
        <v>0</v>
      </c>
      <c r="Z33" s="4"/>
      <c r="AA33" s="4"/>
      <c r="AB33" s="4"/>
      <c r="AC33" s="4"/>
    </row>
    <row r="34" spans="1:29" x14ac:dyDescent="0.25">
      <c r="A34" s="73">
        <v>1000</v>
      </c>
      <c r="B34" s="358">
        <f>($A34)/($T$8)</f>
        <v>300.34703963435999</v>
      </c>
      <c r="C34" s="360">
        <f>($U$8)</f>
        <v>0</v>
      </c>
      <c r="D34" s="364">
        <f>($A34)/($T$9)</f>
        <v>300.34703963435999</v>
      </c>
      <c r="E34" s="358">
        <f>($U$9)</f>
        <v>33.31</v>
      </c>
      <c r="F34" s="358">
        <f>($A34)/($T$10)</f>
        <v>300.34703963435999</v>
      </c>
      <c r="G34" s="358">
        <f>($U$10)</f>
        <v>0</v>
      </c>
      <c r="H34" s="358">
        <f>($A34)/($T$11)</f>
        <v>300.34703963435999</v>
      </c>
      <c r="I34" s="358">
        <f>($U$11)</f>
        <v>0</v>
      </c>
      <c r="J34" s="358">
        <f>($A34)/($T$12)</f>
        <v>300.34703963435999</v>
      </c>
      <c r="K34" s="358">
        <f>($U$12)</f>
        <v>0</v>
      </c>
      <c r="L34" s="358">
        <f>($A34)/($T$13)</f>
        <v>300.34703963435999</v>
      </c>
      <c r="M34" s="358">
        <f>($U$13)</f>
        <v>0</v>
      </c>
      <c r="N34" s="358">
        <f>($A34)/($T$16)</f>
        <v>300.34703963435999</v>
      </c>
      <c r="O34" s="358">
        <f>($U$16)</f>
        <v>0</v>
      </c>
      <c r="P34" s="358">
        <f>($A34)/($T$17)</f>
        <v>300.34703963435999</v>
      </c>
      <c r="Q34" s="360">
        <f>($U$17)</f>
        <v>0</v>
      </c>
      <c r="R34" s="364">
        <f>($A34)/($T$18)</f>
        <v>300.34703963435999</v>
      </c>
      <c r="S34" s="358">
        <f>($U$18)</f>
        <v>0</v>
      </c>
      <c r="T34" s="355">
        <f>($A34)/(X19)</f>
        <v>60.069407926871996</v>
      </c>
      <c r="U34" s="132">
        <f>(Y19)</f>
        <v>23.35</v>
      </c>
      <c r="V34" s="355">
        <f>($A34)/($X14)</f>
        <v>60.069407926871996</v>
      </c>
      <c r="W34" s="132">
        <f>($Y14)</f>
        <v>21.6</v>
      </c>
      <c r="X34" s="358">
        <f>($A34)/($T$15)</f>
        <v>300.34703963435999</v>
      </c>
      <c r="Y34" s="360">
        <f>($U$15)</f>
        <v>0</v>
      </c>
      <c r="Z34" s="4"/>
      <c r="AA34" s="4"/>
      <c r="AB34" s="4"/>
      <c r="AC34" s="4"/>
    </row>
    <row r="35" spans="1:29" x14ac:dyDescent="0.25">
      <c r="A35" s="73">
        <v>750</v>
      </c>
      <c r="B35" s="358">
        <f>($A35)/($V$8)</f>
        <v>112.630139862885</v>
      </c>
      <c r="C35" s="360">
        <f>($W$8)</f>
        <v>0</v>
      </c>
      <c r="D35" s="364">
        <f>($A35)/($V$9)</f>
        <v>112.630139862885</v>
      </c>
      <c r="E35" s="358">
        <f>($W$9)</f>
        <v>38.020000000000003</v>
      </c>
      <c r="F35" s="358">
        <f>($A35)/($V$10)</f>
        <v>112.630139862885</v>
      </c>
      <c r="G35" s="358">
        <f>($W$10)</f>
        <v>0</v>
      </c>
      <c r="H35" s="358">
        <f>($A35)/($V$11)</f>
        <v>112.630139862885</v>
      </c>
      <c r="I35" s="358">
        <f>($W$11)</f>
        <v>0</v>
      </c>
      <c r="J35" s="358">
        <f>($A35)/($V$12)</f>
        <v>112.630139862885</v>
      </c>
      <c r="K35" s="358">
        <f>($W$12)</f>
        <v>0</v>
      </c>
      <c r="L35" s="358">
        <f>($A35)/($V$13)</f>
        <v>112.630139862885</v>
      </c>
      <c r="M35" s="358">
        <f>($W$13)</f>
        <v>0</v>
      </c>
      <c r="N35" s="358">
        <f>($A35)/($V$16)</f>
        <v>112.630139862885</v>
      </c>
      <c r="O35" s="358">
        <f>($W$16)</f>
        <v>0</v>
      </c>
      <c r="P35" s="358">
        <f>($A35)/($V$17)</f>
        <v>112.630139862885</v>
      </c>
      <c r="Q35" s="360">
        <f>($W$17)</f>
        <v>0</v>
      </c>
      <c r="R35" s="364">
        <f>($A35)/($V$18)</f>
        <v>112.630139862885</v>
      </c>
      <c r="S35" s="358">
        <f>($W$18)</f>
        <v>0</v>
      </c>
      <c r="T35" s="355">
        <f>($A35)/(Z19)</f>
        <v>33.789041958865496</v>
      </c>
      <c r="U35" s="132">
        <f>(AA19)</f>
        <v>19.54</v>
      </c>
      <c r="V35" s="355">
        <f>($A35)/($Z14)</f>
        <v>33.789041958865496</v>
      </c>
      <c r="W35" s="132">
        <f>($AA14)</f>
        <v>19.399999999999999</v>
      </c>
      <c r="X35" s="358">
        <f>($A35)/($V$15)</f>
        <v>112.630139862885</v>
      </c>
      <c r="Y35" s="360">
        <f>($W$15)</f>
        <v>0</v>
      </c>
      <c r="Z35" s="4"/>
      <c r="AA35" s="4"/>
      <c r="AB35" s="4"/>
      <c r="AC35" s="4"/>
    </row>
    <row r="36" spans="1:29" x14ac:dyDescent="0.25">
      <c r="A36" s="73">
        <v>500</v>
      </c>
      <c r="B36" s="358">
        <f>($A36)/($X$8)</f>
        <v>30.034703963435998</v>
      </c>
      <c r="C36" s="360">
        <f>($Y$8)</f>
        <v>0</v>
      </c>
      <c r="D36" s="364">
        <f>($A36)/($X$9)</f>
        <v>30.034703963435998</v>
      </c>
      <c r="E36" s="358">
        <f>($Y$9)</f>
        <v>42.33</v>
      </c>
      <c r="F36" s="358">
        <f>($A36)/($X$10)</f>
        <v>30.034703963435998</v>
      </c>
      <c r="G36" s="358">
        <f>($Y$10)</f>
        <v>0</v>
      </c>
      <c r="H36" s="358">
        <f>($A36)/($X$11)</f>
        <v>30.034703963435998</v>
      </c>
      <c r="I36" s="358">
        <f>($Y$11)</f>
        <v>0</v>
      </c>
      <c r="J36" s="358">
        <f>($A36)/($X$12)</f>
        <v>30.034703963435998</v>
      </c>
      <c r="K36" s="358">
        <f>($Y$12)</f>
        <v>0</v>
      </c>
      <c r="L36" s="358">
        <f>($A36)/($X$13)</f>
        <v>30.034703963435998</v>
      </c>
      <c r="M36" s="358">
        <f>($Y$13)</f>
        <v>0</v>
      </c>
      <c r="N36" s="358">
        <f>($A36)/($X$16)</f>
        <v>30.034703963435998</v>
      </c>
      <c r="O36" s="358">
        <f>($Y$16)</f>
        <v>0</v>
      </c>
      <c r="P36" s="358">
        <f>($A36)/($X$17)</f>
        <v>30.034703963435998</v>
      </c>
      <c r="Q36" s="360">
        <f>($Y$17)</f>
        <v>0</v>
      </c>
      <c r="R36" s="364">
        <f>($A36)/($X$18)</f>
        <v>30.034703963435998</v>
      </c>
      <c r="S36" s="358">
        <f>($Y$18)</f>
        <v>0</v>
      </c>
      <c r="T36" s="355">
        <f>($A36)/(AB19)</f>
        <v>15.017351981717999</v>
      </c>
      <c r="U36" s="132">
        <f>(AC19)</f>
        <v>15.46</v>
      </c>
      <c r="V36" s="355">
        <f>($A36)/($AB19)</f>
        <v>15.017351981717999</v>
      </c>
      <c r="W36" s="132">
        <f>($AC14)</f>
        <v>17.170000000000002</v>
      </c>
      <c r="X36" s="358">
        <f>($A36)/($X$15)</f>
        <v>30.034703963435998</v>
      </c>
      <c r="Y36" s="360">
        <f>($Y$15)</f>
        <v>0</v>
      </c>
      <c r="Z36" s="4"/>
      <c r="AA36" s="4"/>
      <c r="AB36" s="4"/>
      <c r="AC36" s="4"/>
    </row>
    <row r="37" spans="1:29" x14ac:dyDescent="0.25">
      <c r="A37" s="73">
        <v>250</v>
      </c>
      <c r="B37" s="358">
        <f>($A37)/($Z$8)</f>
        <v>11.263013986288499</v>
      </c>
      <c r="C37" s="360">
        <f>($AA$8)</f>
        <v>0</v>
      </c>
      <c r="D37" s="364">
        <f>($A37)/($Z$9)</f>
        <v>11.263013986288499</v>
      </c>
      <c r="E37" s="358">
        <f>($AA$9)</f>
        <v>34.049999999999997</v>
      </c>
      <c r="F37" s="358">
        <f>($A37)/($Z$10)</f>
        <v>11.263013986288499</v>
      </c>
      <c r="G37" s="358">
        <f>($AA$10)</f>
        <v>0</v>
      </c>
      <c r="H37" s="358">
        <f>($A37)/($Z$11)</f>
        <v>11.263013986288499</v>
      </c>
      <c r="I37" s="358">
        <f>($AA$11)</f>
        <v>0</v>
      </c>
      <c r="J37" s="358">
        <f>($A37)/($Z$12)</f>
        <v>11.263013986288499</v>
      </c>
      <c r="K37" s="358">
        <f>($AA$12)</f>
        <v>0</v>
      </c>
      <c r="L37" s="358">
        <f>($A37)/($Z$13)</f>
        <v>11.263013986288499</v>
      </c>
      <c r="M37" s="358">
        <f>($AA$13)</f>
        <v>0</v>
      </c>
      <c r="N37" s="358">
        <f>($A37)/($Z$16)</f>
        <v>11.263013986288499</v>
      </c>
      <c r="O37" s="358">
        <f>($AA$16)</f>
        <v>0</v>
      </c>
      <c r="P37" s="358">
        <f>($A37)/($Z$17)</f>
        <v>11.263013986288499</v>
      </c>
      <c r="Q37" s="360">
        <f>($AA$17)</f>
        <v>0</v>
      </c>
      <c r="R37" s="364">
        <f>($A37)/($Z$18)</f>
        <v>11.263013986288499</v>
      </c>
      <c r="S37" s="358">
        <f>($AA$18)</f>
        <v>0</v>
      </c>
      <c r="T37" s="358"/>
      <c r="U37" s="360"/>
      <c r="V37" s="355"/>
      <c r="W37" s="132"/>
      <c r="X37" s="358">
        <f>($A37)/($Z$15)</f>
        <v>11.263013986288499</v>
      </c>
      <c r="Y37" s="360">
        <f>($AA$15)</f>
        <v>0</v>
      </c>
    </row>
    <row r="38" spans="1:29" ht="15.75" thickBot="1" x14ac:dyDescent="0.3">
      <c r="A38" s="73">
        <v>100</v>
      </c>
      <c r="B38" s="359">
        <f>($A38)/($AB$8)</f>
        <v>3.0034703963435998</v>
      </c>
      <c r="C38" s="361">
        <f>($AC$8)</f>
        <v>0</v>
      </c>
      <c r="D38" s="365">
        <f>($A38)/($AB$9)</f>
        <v>3.0034703963435998</v>
      </c>
      <c r="E38" s="359">
        <f>($AC$9)</f>
        <v>25.19</v>
      </c>
      <c r="F38" s="359">
        <f>($A38)/($AB$10)</f>
        <v>3.0034703963435998</v>
      </c>
      <c r="G38" s="359">
        <f>($AC$10)</f>
        <v>0</v>
      </c>
      <c r="H38" s="359">
        <f>($A38)/($AB$11)</f>
        <v>3.0034703963435998</v>
      </c>
      <c r="I38" s="359">
        <f>($AC$11)</f>
        <v>0</v>
      </c>
      <c r="J38" s="359">
        <f>($A38)/($AB$12)</f>
        <v>3.0034703963435998</v>
      </c>
      <c r="K38" s="359">
        <f>($AC$12)</f>
        <v>0</v>
      </c>
      <c r="L38" s="359">
        <f>($A38)/($AB$13)</f>
        <v>3.0034703963435998</v>
      </c>
      <c r="M38" s="359">
        <f>($AC$13)</f>
        <v>0</v>
      </c>
      <c r="N38" s="359">
        <f>($A38)/($AB$16)</f>
        <v>3.0034703963435998</v>
      </c>
      <c r="O38" s="359">
        <f>($AC$16)</f>
        <v>0</v>
      </c>
      <c r="P38" s="359">
        <f>($A38)/($AB$17)</f>
        <v>3.0034703963435998</v>
      </c>
      <c r="Q38" s="361">
        <f>($AC$17)</f>
        <v>0</v>
      </c>
      <c r="R38" s="365">
        <f>($A38)/($AB$18)</f>
        <v>3.0034703963435998</v>
      </c>
      <c r="S38" s="359">
        <f>($AC$18)</f>
        <v>0</v>
      </c>
      <c r="T38" s="359"/>
      <c r="U38" s="361"/>
      <c r="V38" s="356"/>
      <c r="W38" s="137"/>
      <c r="X38" s="359">
        <f>($A38)/($AB$15)</f>
        <v>3.0034703963435998</v>
      </c>
      <c r="Y38" s="361">
        <f>($AC$15)</f>
        <v>0</v>
      </c>
    </row>
    <row r="39" spans="1:29" ht="15.75" customHeight="1" thickBot="1" x14ac:dyDescent="0.3">
      <c r="A39" s="303" t="s">
        <v>24</v>
      </c>
      <c r="B39" s="5"/>
      <c r="C39" s="4"/>
      <c r="D39" s="5"/>
      <c r="E39" s="4"/>
      <c r="P39" s="134" t="e">
        <f>(0.0001)/($AD$17)</f>
        <v>#DIV/0!</v>
      </c>
      <c r="Q39" s="135">
        <f>($AE$17)</f>
        <v>0</v>
      </c>
      <c r="R39" s="136" t="e">
        <f>(0.0001)/($AD$18)</f>
        <v>#DIV/0!</v>
      </c>
      <c r="S39" s="134">
        <f>($AE$18)</f>
        <v>0</v>
      </c>
      <c r="T39" s="467" t="s">
        <v>254</v>
      </c>
      <c r="U39" s="467"/>
      <c r="V39" s="467" t="s">
        <v>253</v>
      </c>
      <c r="W39" s="467"/>
    </row>
    <row r="40" spans="1:29" x14ac:dyDescent="0.25">
      <c r="T40" t="s">
        <v>255</v>
      </c>
    </row>
    <row r="41" spans="1:29" x14ac:dyDescent="0.25">
      <c r="B41" s="77"/>
    </row>
    <row r="42" spans="1:29" x14ac:dyDescent="0.25">
      <c r="B42" s="77"/>
    </row>
    <row r="43" spans="1:29" x14ac:dyDescent="0.25">
      <c r="B43" s="77"/>
    </row>
    <row r="44" spans="1:29" x14ac:dyDescent="0.25">
      <c r="B44" s="77"/>
    </row>
    <row r="45" spans="1:29" x14ac:dyDescent="0.25">
      <c r="B45" s="77"/>
    </row>
    <row r="69" spans="4:9" x14ac:dyDescent="0.25">
      <c r="D69" s="76"/>
      <c r="G69" s="76"/>
      <c r="H69" s="76"/>
      <c r="I69" s="76"/>
    </row>
    <row r="90" spans="2:9" x14ac:dyDescent="0.25">
      <c r="B90" t="s">
        <v>256</v>
      </c>
      <c r="I90" t="s">
        <v>257</v>
      </c>
    </row>
    <row r="91" spans="2:9" x14ac:dyDescent="0.25">
      <c r="C91" t="s">
        <v>259</v>
      </c>
    </row>
    <row r="123" spans="1:5" x14ac:dyDescent="0.25">
      <c r="A123" s="5"/>
      <c r="B123" s="5"/>
      <c r="C123" s="5"/>
      <c r="D123" s="5"/>
    </row>
    <row r="124" spans="1:5" x14ac:dyDescent="0.25">
      <c r="A124" s="5"/>
      <c r="B124" s="5"/>
      <c r="C124" s="5"/>
      <c r="D124" s="5"/>
    </row>
    <row r="125" spans="1:5" x14ac:dyDescent="0.25">
      <c r="A125" s="5"/>
      <c r="B125" s="458"/>
      <c r="C125" s="458"/>
      <c r="D125" s="5"/>
    </row>
    <row r="126" spans="1:5" x14ac:dyDescent="0.25">
      <c r="A126" s="5"/>
      <c r="B126" s="151"/>
      <c r="C126" s="78"/>
      <c r="D126" s="305"/>
      <c r="E126" s="73"/>
    </row>
    <row r="127" spans="1:5" x14ac:dyDescent="0.25">
      <c r="A127" s="5"/>
      <c r="B127" s="4"/>
      <c r="C127" s="4"/>
      <c r="D127" s="5"/>
      <c r="E127" s="150"/>
    </row>
    <row r="128" spans="1:5" x14ac:dyDescent="0.25">
      <c r="A128" s="5"/>
      <c r="B128" s="4"/>
      <c r="C128" s="4"/>
      <c r="D128" s="5"/>
      <c r="E128" s="150"/>
    </row>
    <row r="129" spans="1:5" x14ac:dyDescent="0.25">
      <c r="A129" s="5"/>
      <c r="B129" s="4"/>
      <c r="C129" s="4"/>
      <c r="D129" s="5"/>
      <c r="E129" s="150"/>
    </row>
    <row r="130" spans="1:5" x14ac:dyDescent="0.25">
      <c r="A130" s="5"/>
      <c r="B130" s="4"/>
      <c r="C130" s="4"/>
      <c r="D130" s="5"/>
      <c r="E130" s="150"/>
    </row>
    <row r="131" spans="1:5" x14ac:dyDescent="0.25">
      <c r="A131" s="5"/>
      <c r="B131" s="4"/>
      <c r="C131" s="4"/>
      <c r="D131" s="5"/>
      <c r="E131" s="150"/>
    </row>
    <row r="132" spans="1:5" x14ac:dyDescent="0.25">
      <c r="A132" s="5"/>
      <c r="B132" s="4"/>
      <c r="C132" s="4"/>
      <c r="D132" s="5"/>
      <c r="E132" s="150"/>
    </row>
    <row r="133" spans="1:5" x14ac:dyDescent="0.25">
      <c r="A133" s="5"/>
      <c r="B133" s="4"/>
      <c r="C133" s="4"/>
      <c r="D133" s="5"/>
      <c r="E133" s="150"/>
    </row>
    <row r="134" spans="1:5" x14ac:dyDescent="0.25">
      <c r="A134" s="5"/>
      <c r="B134" s="4"/>
      <c r="C134" s="4"/>
      <c r="D134" s="5"/>
      <c r="E134" s="150"/>
    </row>
    <row r="135" spans="1:5" x14ac:dyDescent="0.25">
      <c r="A135" s="5"/>
      <c r="B135" s="4"/>
      <c r="C135" s="4"/>
      <c r="D135" s="5"/>
      <c r="E135" s="150"/>
    </row>
    <row r="136" spans="1:5" x14ac:dyDescent="0.25">
      <c r="A136" s="5"/>
      <c r="B136" s="4"/>
      <c r="C136" s="4"/>
      <c r="D136" s="5"/>
      <c r="E136" s="150"/>
    </row>
    <row r="137" spans="1:5" x14ac:dyDescent="0.25">
      <c r="A137" s="5"/>
      <c r="B137" s="4"/>
      <c r="C137" s="4"/>
      <c r="D137" s="5"/>
      <c r="E137" s="150"/>
    </row>
    <row r="138" spans="1:5" x14ac:dyDescent="0.25">
      <c r="A138" s="5"/>
      <c r="B138" s="4"/>
      <c r="C138" s="4"/>
      <c r="D138" s="5"/>
      <c r="E138" s="150"/>
    </row>
    <row r="139" spans="1:5" x14ac:dyDescent="0.25">
      <c r="A139" s="5"/>
      <c r="B139" s="4"/>
      <c r="C139" s="4"/>
      <c r="D139" s="5"/>
      <c r="E139" s="150"/>
    </row>
    <row r="140" spans="1:5" x14ac:dyDescent="0.25">
      <c r="A140" s="5"/>
      <c r="B140" s="5"/>
      <c r="C140" s="5"/>
      <c r="D140" s="5"/>
    </row>
    <row r="141" spans="1:5" x14ac:dyDescent="0.25">
      <c r="A141" s="5"/>
      <c r="B141" s="5"/>
      <c r="C141" s="5"/>
      <c r="D141" s="5"/>
    </row>
  </sheetData>
  <mergeCells count="18">
    <mergeCell ref="B125:C125"/>
    <mergeCell ref="N24:O24"/>
    <mergeCell ref="P24:Q24"/>
    <mergeCell ref="R24:S24"/>
    <mergeCell ref="T24:U24"/>
    <mergeCell ref="X24:Y24"/>
    <mergeCell ref="B24:C24"/>
    <mergeCell ref="D24:E24"/>
    <mergeCell ref="F24:G24"/>
    <mergeCell ref="H24:I24"/>
    <mergeCell ref="J24:K24"/>
    <mergeCell ref="L24:M24"/>
    <mergeCell ref="A4:N4"/>
    <mergeCell ref="F5:O5"/>
    <mergeCell ref="A22:H22"/>
    <mergeCell ref="T39:U39"/>
    <mergeCell ref="V39:W39"/>
    <mergeCell ref="V24:W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Model Output</vt:lpstr>
      <vt:lpstr>Dose vs Small Area (Low Conc.)</vt:lpstr>
      <vt:lpstr>Dose vs Small Area (Mid Conc.)</vt:lpstr>
      <vt:lpstr>Dose vs Small Area (High Conc.)</vt:lpstr>
      <vt:lpstr>Ingestion CEDE</vt:lpstr>
      <vt:lpstr>Inhalation CEDE</vt:lpstr>
      <vt:lpstr>High quantity low concentration</vt:lpstr>
    </vt:vector>
  </TitlesOfParts>
  <Company>IEMA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Forsee, Gary</dc:creator>
  <cp:lastModifiedBy>Forsee, Gary</cp:lastModifiedBy>
  <cp:lastPrinted>2024-12-09T18:47:12Z</cp:lastPrinted>
  <dcterms:created xsi:type="dcterms:W3CDTF">2015-10-14T17:21:37Z</dcterms:created>
  <dcterms:modified xsi:type="dcterms:W3CDTF">2024-12-09T18:47:22Z</dcterms:modified>
</cp:coreProperties>
</file>